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9210" windowHeight="6555" activeTab="11"/>
  </bookViews>
  <sheets>
    <sheet name="投资" sheetId="7" r:id="rId1"/>
    <sheet name="试算" sheetId="13" r:id="rId2"/>
    <sheet name="架构" sheetId="14" r:id="rId3"/>
    <sheet name="班表" sheetId="15" r:id="rId4"/>
    <sheet name="盈亏分析" sheetId="11" r:id="rId5"/>
    <sheet name="投资分析" sheetId="8" state="hidden" r:id="rId6"/>
    <sheet name="经营分析" sheetId="9" state="hidden" r:id="rId7"/>
    <sheet name="单位面积费用测算" sheetId="5" state="hidden" r:id="rId8"/>
    <sheet name="收入分析" sheetId="3" state="hidden" r:id="rId9"/>
    <sheet name="费用分析" sheetId="16" r:id="rId10"/>
    <sheet name="保本分析" sheetId="17" r:id="rId11"/>
    <sheet name="2015年全年计划" sheetId="18" r:id="rId12"/>
  </sheets>
  <externalReferences>
    <externalReference r:id="rId13"/>
  </externalReferences>
  <definedNames>
    <definedName name="_xlnm.Print_Area" localSheetId="7">单位面积费用测算!$A$1:$M$11</definedName>
    <definedName name="_xlnm.Print_Area" localSheetId="9">费用分析!$A$1:$T$7</definedName>
    <definedName name="_xlnm.Print_Area" localSheetId="6">经营分析!$A$1:$S$35</definedName>
    <definedName name="_xlnm.Print_Titles" localSheetId="5">投资分析!$1:$4</definedName>
    <definedName name="_xlnm.Print_Titles" localSheetId="4">盈亏分析!$1:$4</definedName>
  </definedNames>
  <calcPr calcId="144525"/>
</workbook>
</file>

<file path=xl/comments1.xml><?xml version="1.0" encoding="utf-8"?>
<comments xmlns="http://schemas.openxmlformats.org/spreadsheetml/2006/main">
  <authors>
    <author>微软用户</author>
    <author>User</author>
  </authors>
  <commentList>
    <comment ref="O6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收入按</t>
        </r>
        <r>
          <rPr>
            <sz val="9"/>
            <rFont val="Tahoma"/>
            <charset val="134"/>
          </rPr>
          <t>10-12</t>
        </r>
        <r>
          <rPr>
            <sz val="9"/>
            <rFont val="宋体"/>
            <charset val="134"/>
          </rPr>
          <t>月实际收入的平均数计算全年的全年收入</t>
        </r>
      </text>
    </comment>
    <comment ref="P6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收入按</t>
        </r>
        <r>
          <rPr>
            <sz val="9"/>
            <rFont val="Tahoma"/>
            <charset val="134"/>
          </rPr>
          <t>10-12</t>
        </r>
        <r>
          <rPr>
            <sz val="9"/>
            <rFont val="宋体"/>
            <charset val="134"/>
          </rPr>
          <t>月实际收入的平均数计算全年的全年收入</t>
        </r>
      </text>
    </comment>
    <comment ref="N8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b/>
            <sz val="9"/>
            <rFont val="宋体"/>
            <charset val="134"/>
          </rPr>
          <t>其中</t>
        </r>
        <r>
          <rPr>
            <b/>
            <sz val="9"/>
            <rFont val="Tahoma"/>
            <charset val="134"/>
          </rPr>
          <t>1740</t>
        </r>
        <r>
          <rPr>
            <b/>
            <sz val="9"/>
            <rFont val="宋体"/>
            <charset val="134"/>
          </rPr>
          <t>元为</t>
        </r>
        <r>
          <rPr>
            <b/>
            <sz val="9"/>
            <rFont val="Tahoma"/>
            <charset val="134"/>
          </rPr>
          <t>10</t>
        </r>
        <r>
          <rPr>
            <b/>
            <sz val="9"/>
            <rFont val="宋体"/>
            <charset val="134"/>
          </rPr>
          <t>万小时之外的超额金额</t>
        </r>
      </text>
    </comment>
    <comment ref="O8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根据</t>
        </r>
        <r>
          <rPr>
            <sz val="9"/>
            <rFont val="Tahoma"/>
            <charset val="134"/>
          </rPr>
          <t>2013.12.04</t>
        </r>
        <r>
          <rPr>
            <sz val="9"/>
            <rFont val="宋体"/>
            <charset val="134"/>
          </rPr>
          <t>晨会杨总指示：总裁认可继续予以酒店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万免费时间外，消费车辆车场免费停车。核算方式同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万免费时间。本月全部为原定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万免费时间之外</t>
        </r>
      </text>
    </comment>
    <comment ref="P8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根据</t>
        </r>
        <r>
          <rPr>
            <sz val="9"/>
            <rFont val="Tahoma"/>
            <charset val="134"/>
          </rPr>
          <t>2013.12.04</t>
        </r>
        <r>
          <rPr>
            <sz val="9"/>
            <rFont val="宋体"/>
            <charset val="134"/>
          </rPr>
          <t>晨会杨总指示：总裁认可继续予以酒店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万免费时间外，消费车辆车场免费停车。核算方式同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万免费时间。本月全部为原定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万免费时间之外</t>
        </r>
      </text>
    </comment>
    <comment ref="Q8" authorId="1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根据</t>
        </r>
        <r>
          <rPr>
            <sz val="9"/>
            <rFont val="Tahoma"/>
            <charset val="134"/>
          </rPr>
          <t>2013.12.04</t>
        </r>
        <r>
          <rPr>
            <sz val="9"/>
            <rFont val="宋体"/>
            <charset val="134"/>
          </rPr>
          <t>晨会杨总指示：总裁认可继续予以酒店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万免费时间外，消费车辆车场免费停车。核算方式同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万免费时间。本月全部为原定</t>
        </r>
        <r>
          <rPr>
            <sz val="9"/>
            <rFont val="Tahoma"/>
            <charset val="134"/>
          </rPr>
          <t>10</t>
        </r>
        <r>
          <rPr>
            <sz val="9"/>
            <rFont val="宋体"/>
            <charset val="134"/>
          </rPr>
          <t>万免费时间之外</t>
        </r>
      </text>
    </comment>
    <comment ref="L22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其中</t>
        </r>
        <r>
          <rPr>
            <sz val="9"/>
            <rFont val="Tahoma"/>
            <charset val="134"/>
          </rPr>
          <t>345</t>
        </r>
        <r>
          <rPr>
            <sz val="9"/>
            <rFont val="宋体"/>
            <charset val="134"/>
          </rPr>
          <t>元为员工制服费</t>
        </r>
      </text>
    </comment>
    <comment ref="P22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1580
</t>
        </r>
        <r>
          <rPr>
            <sz val="9"/>
            <rFont val="宋体"/>
            <charset val="134"/>
          </rPr>
          <t>元为员工制服费</t>
        </r>
      </text>
    </comment>
    <comment ref="I29" authorId="0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车场导示系统</t>
        </r>
      </text>
    </comment>
  </commentList>
</comments>
</file>

<file path=xl/sharedStrings.xml><?xml version="1.0" encoding="utf-8"?>
<sst xmlns="http://schemas.openxmlformats.org/spreadsheetml/2006/main" count="279">
  <si>
    <t>分析统一表格</t>
  </si>
  <si>
    <t>投资分析</t>
  </si>
  <si>
    <t>单位：元</t>
  </si>
  <si>
    <t>类别</t>
  </si>
  <si>
    <t>费用项目</t>
  </si>
  <si>
    <t>金额</t>
  </si>
  <si>
    <t>费用占比</t>
  </si>
  <si>
    <t>摊销折旧年限</t>
  </si>
  <si>
    <t>说明</t>
  </si>
  <si>
    <t>前期投入</t>
  </si>
  <si>
    <t>1、装修费用</t>
  </si>
  <si>
    <t>内装及基本条件</t>
  </si>
  <si>
    <t>中级：2500元/㎡</t>
  </si>
  <si>
    <t>2、购固定资产支出</t>
  </si>
  <si>
    <t>软装桌椅（含ＰＯＳ设备）</t>
  </si>
  <si>
    <t>500元/㎡</t>
  </si>
  <si>
    <t>厨房设备</t>
  </si>
  <si>
    <r>
      <rPr>
        <sz val="11"/>
        <color theme="1"/>
        <rFont val="宋体"/>
        <charset val="134"/>
        <scheme val="minor"/>
      </rPr>
      <t>7000元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㎡</t>
    </r>
  </si>
  <si>
    <t>餐具及厨房用具</t>
  </si>
  <si>
    <r>
      <rPr>
        <sz val="11"/>
        <color theme="1"/>
        <rFont val="宋体"/>
        <charset val="134"/>
        <scheme val="minor"/>
      </rPr>
      <t>200元</t>
    </r>
    <r>
      <rPr>
        <sz val="11"/>
        <color theme="1"/>
        <rFont val="宋体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㎡</t>
    </r>
  </si>
  <si>
    <t>小计</t>
  </si>
  <si>
    <t>3、开办费</t>
  </si>
  <si>
    <t>开办占装修和固定资产支出的10%</t>
  </si>
  <si>
    <t>合计</t>
  </si>
  <si>
    <t>流动资金投入</t>
  </si>
  <si>
    <t>三个月的租金、三个人事费用45万元及半月的食材费用10万元</t>
  </si>
  <si>
    <t>投入总计</t>
  </si>
  <si>
    <t>营业面积</t>
  </si>
  <si>
    <t>256平方米</t>
  </si>
  <si>
    <t>所经营餐厅的营业面积</t>
  </si>
  <si>
    <t>*基础数据</t>
  </si>
  <si>
    <t>单位</t>
  </si>
  <si>
    <t>面积</t>
  </si>
  <si>
    <t>㎡</t>
  </si>
  <si>
    <t>厨房</t>
  </si>
  <si>
    <t>外场</t>
  </si>
  <si>
    <t>月租金+物业费</t>
  </si>
  <si>
    <t>元/㎡</t>
  </si>
  <si>
    <t>2人桌</t>
  </si>
  <si>
    <t>桌</t>
  </si>
  <si>
    <t>座位数</t>
  </si>
  <si>
    <t>个</t>
  </si>
  <si>
    <t>* 营收试算</t>
  </si>
  <si>
    <t>开业初期（前3月）</t>
  </si>
  <si>
    <t>时段</t>
  </si>
  <si>
    <t>AC</t>
  </si>
  <si>
    <t>T/O</t>
  </si>
  <si>
    <t>TC</t>
  </si>
  <si>
    <t>Revenue</t>
  </si>
  <si>
    <t>周一～周五</t>
  </si>
  <si>
    <t>午餐</t>
  </si>
  <si>
    <t>下午茶</t>
  </si>
  <si>
    <t>晚餐</t>
  </si>
  <si>
    <t>宵夜</t>
  </si>
  <si>
    <t>周六～周日</t>
  </si>
  <si>
    <t>标准值</t>
  </si>
  <si>
    <t>月营收</t>
  </si>
  <si>
    <t>av.天</t>
  </si>
  <si>
    <t>Av.M2/月</t>
  </si>
  <si>
    <t>Av.M2/天</t>
  </si>
  <si>
    <t>人员架构表</t>
  </si>
  <si>
    <t>排班</t>
  </si>
  <si>
    <t>职务</t>
  </si>
  <si>
    <t>人数</t>
  </si>
  <si>
    <t>薪资标准</t>
  </si>
  <si>
    <t>备注</t>
  </si>
  <si>
    <t>正常班</t>
  </si>
  <si>
    <t>店长</t>
  </si>
  <si>
    <t>早班
（10:00~18：00）</t>
  </si>
  <si>
    <t>主管（白）</t>
  </si>
  <si>
    <t>领班</t>
  </si>
  <si>
    <t>A.资深服务员</t>
  </si>
  <si>
    <t>底薪1800~200+全勤100+奖金300~500=2200~2600</t>
  </si>
  <si>
    <t>B.一般服务员</t>
  </si>
  <si>
    <t>C.实习/兼职</t>
  </si>
  <si>
    <t>10*小时</t>
  </si>
  <si>
    <t>吧台</t>
  </si>
  <si>
    <t>一般服务员标准</t>
  </si>
  <si>
    <t>财务</t>
  </si>
  <si>
    <t>资深服务员标准</t>
  </si>
  <si>
    <t>晚班
（18:00~24:00）</t>
  </si>
  <si>
    <t>主管（晚）</t>
  </si>
  <si>
    <t>主厨</t>
  </si>
  <si>
    <t>早班
（10:00~18:00）</t>
  </si>
  <si>
    <t>副主厨</t>
  </si>
  <si>
    <t>厨师A</t>
  </si>
  <si>
    <t>厨师B</t>
  </si>
  <si>
    <t>助理A</t>
  </si>
  <si>
    <t>助理B（采购1人）</t>
  </si>
  <si>
    <t>验收</t>
  </si>
  <si>
    <t>备注：外场及厨房均为两班倒；</t>
  </si>
  <si>
    <t>美丽的一天</t>
  </si>
  <si>
    <t>工作重点</t>
  </si>
  <si>
    <t>班表</t>
  </si>
  <si>
    <t>采购</t>
  </si>
  <si>
    <t>09：00</t>
  </si>
  <si>
    <t>*清洁、补料、上货</t>
  </si>
  <si>
    <t>早班（10:00-18:00）</t>
  </si>
  <si>
    <t>10：00</t>
  </si>
  <si>
    <t>*午餐10：30--11：00</t>
  </si>
  <si>
    <t>*11：00 交班集合</t>
  </si>
  <si>
    <t>12：00</t>
  </si>
  <si>
    <t>午餐时段</t>
  </si>
  <si>
    <t>早班PT(3)</t>
  </si>
  <si>
    <t>14：00</t>
  </si>
  <si>
    <t>下午茶时段</t>
  </si>
  <si>
    <t>16：00</t>
  </si>
  <si>
    <t>*17-18:00 晚餐</t>
  </si>
  <si>
    <t>18：00</t>
  </si>
  <si>
    <t>晚餐时段</t>
  </si>
  <si>
    <t>*18：00 交班集合</t>
  </si>
  <si>
    <t>晚班（18:00-24:00）</t>
  </si>
  <si>
    <t>晚班PT(4)</t>
  </si>
  <si>
    <t>20：00</t>
  </si>
  <si>
    <t>22：00</t>
  </si>
  <si>
    <t>宵夜时段</t>
  </si>
  <si>
    <t>24：00</t>
  </si>
  <si>
    <t>02：00</t>
  </si>
  <si>
    <t>经营分析表</t>
  </si>
  <si>
    <r>
      <rPr>
        <b/>
        <sz val="12"/>
        <rFont val="宋体"/>
        <charset val="134"/>
      </rPr>
      <t xml:space="preserve">项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目</t>
    </r>
  </si>
  <si>
    <t>占比</t>
  </si>
  <si>
    <t>一、营业收入</t>
  </si>
  <si>
    <t>减：折扣</t>
  </si>
  <si>
    <r>
      <rPr>
        <sz val="11"/>
        <rFont val="宋体"/>
        <charset val="134"/>
      </rPr>
      <t>折扣为</t>
    </r>
    <r>
      <rPr>
        <sz val="11"/>
        <rFont val="Times New Roman"/>
        <charset val="134"/>
      </rPr>
      <t>10%</t>
    </r>
  </si>
  <si>
    <t>二、营业收入净额</t>
  </si>
  <si>
    <t xml:space="preserve">    营业成本</t>
  </si>
  <si>
    <t>占营业收入的30%</t>
  </si>
  <si>
    <t>减：经营税金及附加</t>
  </si>
  <si>
    <t>收入净额*56.8%</t>
  </si>
  <si>
    <t>三、营业利润</t>
  </si>
  <si>
    <t xml:space="preserve">    毛利率</t>
  </si>
  <si>
    <t>减：营业费用</t>
  </si>
  <si>
    <t xml:space="preserve">   1、人员工资</t>
  </si>
  <si>
    <r>
      <rPr>
        <sz val="11"/>
        <rFont val="宋体"/>
        <charset val="134"/>
      </rPr>
      <t>固定工资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收入的</t>
    </r>
    <r>
      <rPr>
        <sz val="11"/>
        <rFont val="Times New Roman"/>
        <charset val="134"/>
      </rPr>
      <t>5%</t>
    </r>
  </si>
  <si>
    <t xml:space="preserve">   2、房屋租金</t>
  </si>
  <si>
    <r>
      <rPr>
        <sz val="11"/>
        <rFont val="Times New Roman"/>
        <charset val="134"/>
      </rPr>
      <t>256</t>
    </r>
    <r>
      <rPr>
        <sz val="11"/>
        <rFont val="宋体"/>
        <charset val="134"/>
      </rPr>
      <t>㎡</t>
    </r>
    <r>
      <rPr>
        <sz val="11"/>
        <rFont val="Times New Roman"/>
        <charset val="134"/>
      </rPr>
      <t>*80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</t>
    </r>
  </si>
  <si>
    <t xml:space="preserve">   3、物业费</t>
  </si>
  <si>
    <r>
      <rPr>
        <sz val="11"/>
        <rFont val="Times New Roman"/>
        <charset val="134"/>
      </rPr>
      <t>256</t>
    </r>
    <r>
      <rPr>
        <sz val="11"/>
        <rFont val="宋体"/>
        <charset val="134"/>
      </rPr>
      <t>㎡</t>
    </r>
    <r>
      <rPr>
        <sz val="11"/>
        <rFont val="Times New Roman"/>
        <charset val="134"/>
      </rPr>
      <t>*40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</t>
    </r>
  </si>
  <si>
    <t xml:space="preserve">   4、水电费</t>
  </si>
  <si>
    <r>
      <rPr>
        <sz val="11"/>
        <rFont val="宋体"/>
        <charset val="134"/>
      </rPr>
      <t>按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㎡</t>
    </r>
  </si>
  <si>
    <t xml:space="preserve">   5、电话及网费</t>
  </si>
  <si>
    <t xml:space="preserve">   6、办公费</t>
  </si>
  <si>
    <t xml:space="preserve">   7、企划费用</t>
  </si>
  <si>
    <r>
      <rPr>
        <sz val="11"/>
        <rFont val="宋体"/>
        <charset val="134"/>
      </rPr>
      <t>按收入的</t>
    </r>
    <r>
      <rPr>
        <sz val="11"/>
        <rFont val="Times New Roman"/>
        <charset val="134"/>
      </rPr>
      <t>3%</t>
    </r>
    <r>
      <rPr>
        <sz val="11"/>
        <rFont val="宋体"/>
        <charset val="134"/>
      </rPr>
      <t>预估</t>
    </r>
  </si>
  <si>
    <t xml:space="preserve">   8、装修费摊销</t>
  </si>
  <si>
    <t xml:space="preserve">   9、固定资产折旧</t>
  </si>
  <si>
    <t xml:space="preserve">   10、其他费用</t>
  </si>
  <si>
    <t xml:space="preserve">   投资的其他资产价值</t>
  </si>
  <si>
    <t>四、净利润</t>
  </si>
  <si>
    <t>月平衡点BEP</t>
  </si>
  <si>
    <t>投资分析表</t>
  </si>
  <si>
    <t>单位：万元</t>
  </si>
  <si>
    <t>项目</t>
  </si>
  <si>
    <t>减：营业税金及附加</t>
  </si>
  <si>
    <t>　　营业成本</t>
  </si>
  <si>
    <r>
      <rPr>
        <b/>
        <sz val="12"/>
        <rFont val="宋体"/>
        <charset val="134"/>
      </rPr>
      <t xml:space="preserve">　 </t>
    </r>
    <r>
      <rPr>
        <b/>
        <sz val="12"/>
        <rFont val="宋体"/>
        <charset val="134"/>
      </rPr>
      <t>经营管理费</t>
    </r>
  </si>
  <si>
    <t>不含房屋折旧和房产税</t>
  </si>
  <si>
    <t>二、营业利润</t>
  </si>
  <si>
    <t>减：房屋折旧</t>
  </si>
  <si>
    <t xml:space="preserve">   房产税</t>
  </si>
  <si>
    <t>三、经营利润</t>
  </si>
  <si>
    <t xml:space="preserve">   投资的房产价值</t>
  </si>
  <si>
    <t>四、投产收益率</t>
  </si>
  <si>
    <t>兴正元停车场2013年经营情况表</t>
  </si>
  <si>
    <t>制表日期：2014年9月26日</t>
  </si>
  <si>
    <t>时间</t>
  </si>
  <si>
    <t>12年    实际金额</t>
  </si>
  <si>
    <t>实际金额</t>
  </si>
  <si>
    <t>13年预算金额</t>
  </si>
  <si>
    <t>备  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</si>
  <si>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</si>
  <si>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</si>
  <si>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</si>
  <si>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</si>
  <si>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</si>
  <si>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</si>
  <si>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</si>
  <si>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</si>
  <si>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</si>
  <si>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</si>
  <si>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</si>
  <si>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</si>
  <si>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 xml:space="preserve"> 一、车场收入</t>
  </si>
  <si>
    <t>停车场464个车位、占用27个、实际使用437个</t>
  </si>
  <si>
    <t xml:space="preserve">    实际收款收入</t>
  </si>
  <si>
    <t>单价3元/小时</t>
  </si>
  <si>
    <t>加：应调整收入</t>
  </si>
  <si>
    <t xml:space="preserve">   </t>
  </si>
  <si>
    <t>1、工资</t>
  </si>
  <si>
    <t>2、工会费费</t>
  </si>
  <si>
    <t>2、保险</t>
  </si>
  <si>
    <t>3、福利</t>
  </si>
  <si>
    <t>4、办公费及低耗品</t>
  </si>
  <si>
    <t>5、电费</t>
  </si>
  <si>
    <t>6、车场系统服务费</t>
  </si>
  <si>
    <t>7、税费</t>
  </si>
  <si>
    <t>万分8的水利基金</t>
  </si>
  <si>
    <t>8、通讯费</t>
  </si>
  <si>
    <t>按1部电话，8元/月</t>
  </si>
  <si>
    <t>9、折旧费</t>
  </si>
  <si>
    <t>10、日常维修费</t>
  </si>
  <si>
    <t>11、其他</t>
  </si>
  <si>
    <t>有10万元的导示牌费用</t>
  </si>
  <si>
    <t>12、物业费</t>
  </si>
  <si>
    <t xml:space="preserve">    房屋折旧</t>
  </si>
  <si>
    <t>按照车场建筑面积31257.48平方米12年按12元/㎡计算。</t>
  </si>
  <si>
    <t xml:space="preserve">    房产税</t>
  </si>
  <si>
    <t>三、租金及物业费后营业利润</t>
  </si>
  <si>
    <t>营业利润</t>
  </si>
  <si>
    <r>
      <rPr>
        <b/>
        <sz val="18"/>
        <rFont val="Arial"/>
        <charset val="134"/>
      </rPr>
      <t xml:space="preserve">  </t>
    </r>
    <r>
      <rPr>
        <b/>
        <sz val="18"/>
        <rFont val="宋体"/>
        <charset val="134"/>
      </rPr>
      <t>　费用分析表</t>
    </r>
    <r>
      <rPr>
        <b/>
        <sz val="18"/>
        <rFont val="Arial"/>
        <charset val="134"/>
      </rPr>
      <t xml:space="preserve">    </t>
    </r>
  </si>
  <si>
    <t>人事费用</t>
  </si>
  <si>
    <t>办公费</t>
  </si>
  <si>
    <t>电费</t>
  </si>
  <si>
    <t>系统服务费</t>
  </si>
  <si>
    <t>维修费</t>
  </si>
  <si>
    <t>物业费</t>
  </si>
  <si>
    <t>折旧费</t>
  </si>
  <si>
    <t xml:space="preserve"> 房屋折旧</t>
  </si>
  <si>
    <t>房产税</t>
  </si>
  <si>
    <t>其他杂费</t>
  </si>
  <si>
    <t>年费用（万元）</t>
  </si>
  <si>
    <r>
      <rPr>
        <sz val="12"/>
        <rFont val="宋体"/>
        <charset val="134"/>
      </rPr>
      <t>车场建筑面积</t>
    </r>
    <r>
      <rPr>
        <sz val="12"/>
        <rFont val="Arial"/>
        <charset val="134"/>
      </rPr>
      <t>31257.48</t>
    </r>
    <r>
      <rPr>
        <sz val="12"/>
        <rFont val="宋体"/>
        <charset val="134"/>
      </rPr>
      <t>平方米，共有</t>
    </r>
    <r>
      <rPr>
        <sz val="12"/>
        <rFont val="Arial"/>
        <charset val="134"/>
      </rPr>
      <t>464</t>
    </r>
    <r>
      <rPr>
        <sz val="12"/>
        <rFont val="宋体"/>
        <charset val="134"/>
      </rPr>
      <t>个车位，项目部占用</t>
    </r>
    <r>
      <rPr>
        <sz val="12"/>
        <rFont val="Arial"/>
        <charset val="134"/>
      </rPr>
      <t>24</t>
    </r>
    <r>
      <rPr>
        <sz val="12"/>
        <rFont val="宋体"/>
        <charset val="134"/>
      </rPr>
      <t>个、酒店店用</t>
    </r>
    <r>
      <rPr>
        <sz val="12"/>
        <rFont val="Arial"/>
        <charset val="134"/>
      </rPr>
      <t>3</t>
    </r>
    <r>
      <rPr>
        <sz val="12"/>
        <rFont val="宋体"/>
        <charset val="134"/>
      </rPr>
      <t>个，实际在用车位为</t>
    </r>
    <r>
      <rPr>
        <sz val="12"/>
        <rFont val="Arial"/>
        <charset val="134"/>
      </rPr>
      <t>437</t>
    </r>
    <r>
      <rPr>
        <sz val="12"/>
        <rFont val="宋体"/>
        <charset val="134"/>
      </rPr>
      <t>个。</t>
    </r>
  </si>
  <si>
    <t>月费用（万元）</t>
  </si>
  <si>
    <t>单位面积月费用  （元）</t>
  </si>
  <si>
    <t>单位面积日费用  （元）</t>
  </si>
  <si>
    <t>单位车位月费用（元）</t>
  </si>
  <si>
    <t>单位车位日费用（元）</t>
  </si>
  <si>
    <t>备注：以上费用不含水利基金3674.62元</t>
  </si>
  <si>
    <t>楼层：</t>
  </si>
  <si>
    <t>单个车位收入分析</t>
  </si>
  <si>
    <t>车位数</t>
  </si>
  <si>
    <t>月费用</t>
  </si>
  <si>
    <t>税率</t>
  </si>
  <si>
    <t>月保本收入</t>
  </si>
  <si>
    <t>日保本收入</t>
  </si>
  <si>
    <t>停车费单价</t>
  </si>
  <si>
    <t>日保本车位使用   时间（小时）</t>
  </si>
  <si>
    <t>现车位使用时间</t>
  </si>
  <si>
    <t>方式</t>
  </si>
  <si>
    <t>A</t>
  </si>
  <si>
    <t>B</t>
  </si>
  <si>
    <t>C＝A/(1-B)</t>
  </si>
  <si>
    <t>D＝C/30</t>
  </si>
  <si>
    <t>E</t>
  </si>
  <si>
    <t>F＝D/E</t>
  </si>
  <si>
    <t>小时</t>
  </si>
  <si>
    <t>方式一</t>
  </si>
  <si>
    <r>
      <rPr>
        <sz val="12"/>
        <rFont val="宋体"/>
        <charset val="134"/>
      </rPr>
      <t>3元</t>
    </r>
    <r>
      <rPr>
        <sz val="12"/>
        <rFont val="宋体"/>
        <charset val="134"/>
      </rPr>
      <t>/小时</t>
    </r>
  </si>
  <si>
    <r>
      <rPr>
        <b/>
        <sz val="18"/>
        <rFont val="Arial"/>
        <charset val="134"/>
      </rPr>
      <t xml:space="preserve">  </t>
    </r>
    <r>
      <rPr>
        <b/>
        <sz val="18"/>
        <rFont val="宋体"/>
        <charset val="134"/>
      </rPr>
      <t>　单位面积费用表</t>
    </r>
    <r>
      <rPr>
        <b/>
        <sz val="18"/>
        <rFont val="Arial"/>
        <charset val="134"/>
      </rPr>
      <t xml:space="preserve">  </t>
    </r>
  </si>
  <si>
    <r>
      <rPr>
        <b/>
        <sz val="12"/>
        <rFont val="宋体"/>
        <charset val="134"/>
      </rPr>
      <t>月固定费用</t>
    </r>
  </si>
  <si>
    <t>月变动费用</t>
  </si>
  <si>
    <t xml:space="preserve">调整系数
</t>
  </si>
  <si>
    <t>房屋租金</t>
  </si>
  <si>
    <t>水电费</t>
  </si>
  <si>
    <t>电话及网费</t>
  </si>
  <si>
    <t>摊销费用</t>
  </si>
  <si>
    <t>其他费用</t>
  </si>
  <si>
    <t>食材成本</t>
  </si>
  <si>
    <t>税费</t>
  </si>
  <si>
    <t>折扣</t>
  </si>
  <si>
    <t>工资</t>
  </si>
  <si>
    <t>企划费用</t>
  </si>
  <si>
    <t>其他</t>
  </si>
  <si>
    <t>费用分配系数</t>
  </si>
  <si>
    <t>保本收入分析</t>
  </si>
  <si>
    <t>月固定费用</t>
  </si>
  <si>
    <t>月变动费用率</t>
  </si>
  <si>
    <t>日单座     保本收入</t>
  </si>
  <si>
    <t>现月预测收入</t>
  </si>
  <si>
    <t>F</t>
  </si>
  <si>
    <t>备注：以上保本收入为折扣前的收入</t>
  </si>
  <si>
    <t>2015年年度收支表</t>
  </si>
  <si>
    <t>月份</t>
  </si>
  <si>
    <t>客流</t>
  </si>
  <si>
    <t xml:space="preserve">   9、其他费用</t>
  </si>
  <si>
    <t>前期投入成本回收</t>
  </si>
  <si>
    <t>备注：1.前期投入合计约为1,450,240元，开业后7个月回收全部成本；</t>
  </si>
  <si>
    <t xml:space="preserve">           2.租金及物业费从2015年7月起收</t>
  </si>
  <si>
    <t xml:space="preserve">           3.开业前三月客流量以标准值70%计算；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</si>
</sst>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);[Red]\(0.0\)"/>
    <numFmt numFmtId="178" formatCode="#,##0_);[Red]\(#,##0\)"/>
    <numFmt numFmtId="179" formatCode="0.00_);[Red]\(0.00\)"/>
    <numFmt numFmtId="180" formatCode="0.00_ "/>
    <numFmt numFmtId="181" formatCode="#,##0.00_);[Red]\(#,##0.00\)"/>
    <numFmt numFmtId="182" formatCode="0_ "/>
    <numFmt numFmtId="183" formatCode="#,##0_ "/>
    <numFmt numFmtId="184" formatCode="_ * #,##0_ ;_ * \-#,##0_ ;_ * &quot;-&quot;??_ ;_ @_ "/>
    <numFmt numFmtId="185" formatCode="0.0"/>
  </numFmts>
  <fonts count="70">
    <font>
      <sz val="12"/>
      <name val="宋体"/>
      <charset val="134"/>
    </font>
    <font>
      <sz val="20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name val="Batang"/>
      <charset val="129"/>
    </font>
    <font>
      <sz val="11"/>
      <color rgb="FFFF0000"/>
      <name val="Batang"/>
      <charset val="129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b/>
      <sz val="11"/>
      <name val="Arial"/>
      <charset val="134"/>
    </font>
    <font>
      <sz val="10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indexed="8"/>
      <name val="宋体"/>
      <charset val="134"/>
    </font>
    <font>
      <b/>
      <sz val="22"/>
      <name val="楷体_GB2312"/>
      <charset val="134"/>
    </font>
    <font>
      <b/>
      <sz val="16"/>
      <name val="楷体_GB2312"/>
      <charset val="134"/>
    </font>
    <font>
      <b/>
      <sz val="14"/>
      <name val="楷体_GB2312"/>
      <charset val="134"/>
    </font>
    <font>
      <b/>
      <sz val="12"/>
      <name val="楷体_GB2312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2"/>
      <color indexed="10"/>
      <name val="宋体"/>
      <charset val="134"/>
    </font>
    <font>
      <sz val="12"/>
      <name val="楷体_GB2312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楷体_GB2312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b/>
      <u val="singleAccounting"/>
      <sz val="11"/>
      <color theme="1"/>
      <name val="微软雅黑"/>
      <charset val="134"/>
    </font>
    <font>
      <b/>
      <sz val="1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ËÎÌå"/>
      <charset val="134"/>
    </font>
    <font>
      <b/>
      <sz val="11"/>
      <color indexed="6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0">
    <xf numFmtId="0" fontId="0" fillId="0" borderId="0"/>
    <xf numFmtId="42" fontId="47" fillId="0" borderId="0" applyFon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1" fillId="15" borderId="74" applyNumberFormat="0" applyAlignment="0" applyProtection="0">
      <alignment vertical="center"/>
    </xf>
    <xf numFmtId="0" fontId="6" fillId="0" borderId="0"/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47" fillId="14" borderId="75" applyNumberFormat="0" applyFont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0" fontId="18" fillId="0" borderId="0"/>
    <xf numFmtId="0" fontId="7" fillId="0" borderId="0"/>
    <xf numFmtId="0" fontId="50" fillId="0" borderId="0" applyNumberFormat="0" applyFill="0" applyBorder="0" applyAlignment="0" applyProtection="0">
      <alignment vertical="center"/>
    </xf>
    <xf numFmtId="0" fontId="6" fillId="0" borderId="0"/>
    <xf numFmtId="0" fontId="48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6" fillId="0" borderId="73" applyNumberFormat="0" applyFill="0" applyAlignment="0" applyProtection="0">
      <alignment vertical="center"/>
    </xf>
    <xf numFmtId="0" fontId="7" fillId="0" borderId="0"/>
    <xf numFmtId="0" fontId="52" fillId="0" borderId="73" applyNumberFormat="0" applyFill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0" borderId="79" applyNumberFormat="0" applyFill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7" fillId="13" borderId="77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9" fillId="13" borderId="74" applyNumberFormat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5" fillId="19" borderId="76" applyNumberFormat="0" applyAlignment="0" applyProtection="0">
      <alignment vertical="center"/>
    </xf>
    <xf numFmtId="43" fontId="6" fillId="0" borderId="0" applyFont="0" applyFill="0" applyBorder="0" applyAlignment="0" applyProtection="0"/>
    <xf numFmtId="0" fontId="53" fillId="32" borderId="0" applyNumberFormat="0" applyBorder="0" applyAlignment="0" applyProtection="0">
      <alignment vertical="center"/>
    </xf>
    <xf numFmtId="0" fontId="7" fillId="0" borderId="0" applyFont="0" applyFill="0" applyBorder="0" applyAlignment="0" applyProtection="0"/>
    <xf numFmtId="0" fontId="60" fillId="33" borderId="0" applyNumberFormat="0" applyBorder="0" applyAlignment="0" applyProtection="0">
      <alignment vertical="center"/>
    </xf>
    <xf numFmtId="0" fontId="59" fillId="0" borderId="78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67" fillId="0" borderId="80" applyNumberFormat="0" applyFill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7" fillId="0" borderId="0"/>
    <xf numFmtId="0" fontId="53" fillId="2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6" fillId="0" borderId="0"/>
    <xf numFmtId="0" fontId="60" fillId="35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41" fontId="6" fillId="0" borderId="0" applyFont="0" applyFill="0" applyBorder="0" applyAlignment="0" applyProtection="0"/>
    <xf numFmtId="0" fontId="60" fillId="39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8" fillId="12" borderId="0" applyNumberFormat="0" applyBorder="0" applyAlignment="0" applyProtection="0">
      <alignment vertical="center"/>
    </xf>
    <xf numFmtId="0" fontId="18" fillId="0" borderId="0"/>
    <xf numFmtId="0" fontId="68" fillId="0" borderId="0"/>
    <xf numFmtId="9" fontId="35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6" fillId="0" borderId="0"/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7" fillId="0" borderId="0"/>
    <xf numFmtId="0" fontId="35" fillId="0" borderId="0">
      <alignment vertical="center"/>
    </xf>
    <xf numFmtId="0" fontId="7" fillId="0" borderId="0"/>
    <xf numFmtId="0" fontId="7" fillId="0" borderId="0"/>
    <xf numFmtId="0" fontId="35" fillId="0" borderId="0">
      <alignment vertical="center"/>
    </xf>
    <xf numFmtId="0" fontId="7" fillId="0" borderId="0"/>
    <xf numFmtId="0" fontId="7" fillId="0" borderId="0"/>
    <xf numFmtId="0" fontId="35" fillId="0" borderId="0">
      <alignment vertical="center"/>
    </xf>
    <xf numFmtId="0" fontId="6" fillId="0" borderId="0"/>
    <xf numFmtId="0" fontId="6" fillId="0" borderId="0"/>
    <xf numFmtId="0" fontId="56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6" fillId="0" borderId="0"/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56" fillId="24" borderId="0" applyNumberFormat="0" applyBorder="0" applyAlignment="0" applyProtection="0">
      <alignment vertical="center"/>
    </xf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/>
    <xf numFmtId="0" fontId="18" fillId="0" borderId="0"/>
  </cellStyleXfs>
  <cellXfs count="50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/>
    <xf numFmtId="43" fontId="2" fillId="0" borderId="4" xfId="0" applyNumberFormat="1" applyFont="1" applyBorder="1"/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right"/>
    </xf>
    <xf numFmtId="43" fontId="4" fillId="0" borderId="4" xfId="0" applyNumberFormat="1" applyFont="1" applyBorder="1"/>
    <xf numFmtId="0" fontId="3" fillId="0" borderId="0" xfId="0" applyFont="1" applyAlignment="1"/>
    <xf numFmtId="0" fontId="0" fillId="0" borderId="0" xfId="0" applyAlignment="1"/>
    <xf numFmtId="0" fontId="2" fillId="2" borderId="5" xfId="0" applyFont="1" applyFill="1" applyBorder="1" applyAlignment="1">
      <alignment horizontal="center"/>
    </xf>
    <xf numFmtId="43" fontId="2" fillId="0" borderId="6" xfId="0" applyNumberFormat="1" applyFont="1" applyBorder="1"/>
    <xf numFmtId="43" fontId="5" fillId="0" borderId="4" xfId="0" applyNumberFormat="1" applyFont="1" applyBorder="1"/>
    <xf numFmtId="43" fontId="5" fillId="0" borderId="6" xfId="0" applyNumberFormat="1" applyFont="1" applyBorder="1"/>
    <xf numFmtId="0" fontId="6" fillId="0" borderId="0" xfId="90" applyFont="1" applyFill="1" applyAlignment="1"/>
    <xf numFmtId="0" fontId="6" fillId="0" borderId="0" xfId="90"/>
    <xf numFmtId="0" fontId="7" fillId="0" borderId="7" xfId="90" applyFont="1" applyFill="1" applyBorder="1" applyAlignment="1"/>
    <xf numFmtId="0" fontId="6" fillId="0" borderId="7" xfId="90" applyFont="1" applyFill="1" applyBorder="1" applyAlignment="1"/>
    <xf numFmtId="43" fontId="8" fillId="0" borderId="7" xfId="90" applyNumberFormat="1" applyFont="1" applyFill="1" applyBorder="1" applyAlignment="1"/>
    <xf numFmtId="0" fontId="9" fillId="0" borderId="8" xfId="90" applyFont="1" applyFill="1" applyBorder="1" applyAlignment="1">
      <alignment horizontal="center"/>
    </xf>
    <xf numFmtId="0" fontId="6" fillId="0" borderId="9" xfId="90" applyBorder="1" applyAlignment="1">
      <alignment horizontal="right" vertical="center" wrapText="1"/>
    </xf>
    <xf numFmtId="0" fontId="6" fillId="0" borderId="10" xfId="90" applyBorder="1" applyAlignment="1">
      <alignment horizontal="right" vertical="center" wrapText="1"/>
    </xf>
    <xf numFmtId="0" fontId="6" fillId="0" borderId="11" xfId="90" applyFont="1" applyBorder="1" applyAlignment="1">
      <alignment horizontal="center" vertical="center" wrapText="1"/>
    </xf>
    <xf numFmtId="0" fontId="6" fillId="0" borderId="2" xfId="90" applyFont="1" applyBorder="1" applyAlignment="1">
      <alignment horizontal="center" vertical="center" wrapText="1"/>
    </xf>
    <xf numFmtId="0" fontId="6" fillId="0" borderId="2" xfId="90" applyFont="1" applyFill="1" applyBorder="1" applyAlignment="1">
      <alignment horizontal="center" vertical="center" wrapText="1"/>
    </xf>
    <xf numFmtId="0" fontId="6" fillId="0" borderId="11" xfId="90" applyFont="1" applyFill="1" applyBorder="1" applyAlignment="1">
      <alignment horizontal="center" vertical="center" wrapText="1"/>
    </xf>
    <xf numFmtId="0" fontId="6" fillId="0" borderId="12" xfId="90" applyFont="1" applyBorder="1" applyAlignment="1">
      <alignment horizontal="left" vertical="center" wrapText="1"/>
    </xf>
    <xf numFmtId="0" fontId="6" fillId="0" borderId="13" xfId="90" applyBorder="1" applyAlignment="1">
      <alignment horizontal="left" vertical="center" wrapText="1"/>
    </xf>
    <xf numFmtId="0" fontId="6" fillId="0" borderId="14" xfId="90" applyFont="1" applyBorder="1" applyAlignment="1">
      <alignment horizontal="center" vertical="center" wrapText="1"/>
    </xf>
    <xf numFmtId="0" fontId="6" fillId="0" borderId="4" xfId="90" applyFont="1" applyFill="1" applyBorder="1" applyAlignment="1">
      <alignment horizontal="center" vertical="center" wrapText="1"/>
    </xf>
    <xf numFmtId="0" fontId="6" fillId="0" borderId="14" xfId="90" applyFont="1" applyFill="1" applyBorder="1" applyAlignment="1">
      <alignment horizontal="center" vertical="center" wrapText="1"/>
    </xf>
    <xf numFmtId="0" fontId="6" fillId="0" borderId="15" xfId="90" applyFont="1" applyBorder="1" applyAlignment="1">
      <alignment horizontal="center" vertical="center" wrapText="1"/>
    </xf>
    <xf numFmtId="0" fontId="6" fillId="0" borderId="16" xfId="90" applyBorder="1" applyAlignment="1">
      <alignment horizontal="center" vertical="center" wrapText="1"/>
    </xf>
    <xf numFmtId="0" fontId="6" fillId="0" borderId="17" xfId="90" applyBorder="1" applyAlignment="1">
      <alignment horizontal="center" vertical="center" wrapText="1"/>
    </xf>
    <xf numFmtId="178" fontId="6" fillId="0" borderId="17" xfId="90" applyNumberFormat="1" applyBorder="1" applyAlignment="1">
      <alignment horizontal="center" vertical="center" wrapText="1"/>
    </xf>
    <xf numFmtId="9" fontId="6" fillId="0" borderId="17" xfId="90" applyNumberFormat="1" applyBorder="1" applyAlignment="1">
      <alignment horizontal="center" vertical="center" wrapText="1"/>
    </xf>
    <xf numFmtId="178" fontId="6" fillId="0" borderId="17" xfId="90" applyNumberFormat="1" applyFont="1" applyBorder="1" applyAlignment="1">
      <alignment horizontal="center" vertical="center" wrapText="1"/>
    </xf>
    <xf numFmtId="43" fontId="10" fillId="0" borderId="7" xfId="90" applyNumberFormat="1" applyFont="1" applyFill="1" applyBorder="1" applyAlignment="1">
      <alignment horizontal="right"/>
    </xf>
    <xf numFmtId="0" fontId="6" fillId="0" borderId="18" xfId="90" applyFont="1" applyFill="1" applyBorder="1" applyAlignment="1">
      <alignment horizontal="center" vertical="center" wrapText="1"/>
    </xf>
    <xf numFmtId="0" fontId="6" fillId="0" borderId="6" xfId="90" applyFont="1" applyFill="1" applyBorder="1" applyAlignment="1">
      <alignment horizontal="center" vertical="center" wrapText="1"/>
    </xf>
    <xf numFmtId="176" fontId="6" fillId="0" borderId="19" xfId="90" applyNumberFormat="1" applyFill="1" applyBorder="1" applyAlignment="1">
      <alignment horizontal="center" vertical="center" wrapText="1"/>
    </xf>
    <xf numFmtId="0" fontId="11" fillId="0" borderId="0" xfId="95" applyFont="1" applyFill="1">
      <alignment vertical="center"/>
    </xf>
    <xf numFmtId="0" fontId="12" fillId="0" borderId="0" xfId="95" applyFont="1" applyFill="1" applyAlignment="1">
      <alignment horizontal="center" vertical="center"/>
    </xf>
    <xf numFmtId="0" fontId="13" fillId="0" borderId="0" xfId="95" applyFont="1" applyFill="1">
      <alignment vertical="center"/>
    </xf>
    <xf numFmtId="0" fontId="0" fillId="0" borderId="0" xfId="95" applyFont="1" applyFill="1">
      <alignment vertical="center"/>
    </xf>
    <xf numFmtId="0" fontId="10" fillId="0" borderId="0" xfId="95" applyFont="1" applyAlignment="1">
      <alignment horizontal="center" vertical="center"/>
    </xf>
    <xf numFmtId="177" fontId="10" fillId="0" borderId="0" xfId="95" applyNumberFormat="1" applyFont="1" applyAlignment="1">
      <alignment horizontal="center" vertical="center"/>
    </xf>
    <xf numFmtId="179" fontId="0" fillId="0" borderId="0" xfId="95" applyNumberFormat="1" applyFont="1">
      <alignment vertical="center"/>
    </xf>
    <xf numFmtId="180" fontId="0" fillId="0" borderId="0" xfId="95" applyNumberFormat="1" applyFont="1">
      <alignment vertical="center"/>
    </xf>
    <xf numFmtId="0" fontId="0" fillId="0" borderId="0" xfId="95" applyFont="1">
      <alignment vertical="center"/>
    </xf>
    <xf numFmtId="0" fontId="14" fillId="0" borderId="0" xfId="95" applyFont="1" applyAlignment="1">
      <alignment horizontal="center" vertical="center"/>
    </xf>
    <xf numFmtId="0" fontId="15" fillId="0" borderId="0" xfId="95" applyFont="1" applyAlignment="1">
      <alignment horizontal="center" vertical="center"/>
    </xf>
    <xf numFmtId="177" fontId="15" fillId="0" borderId="0" xfId="95" applyNumberFormat="1" applyFont="1" applyAlignment="1">
      <alignment horizontal="center" vertical="center"/>
    </xf>
    <xf numFmtId="179" fontId="16" fillId="0" borderId="0" xfId="95" applyNumberFormat="1" applyFont="1">
      <alignment vertical="center"/>
    </xf>
    <xf numFmtId="180" fontId="16" fillId="0" borderId="0" xfId="95" applyNumberFormat="1" applyFont="1">
      <alignment vertical="center"/>
    </xf>
    <xf numFmtId="179" fontId="10" fillId="0" borderId="20" xfId="95" applyNumberFormat="1" applyFont="1" applyBorder="1" applyAlignment="1">
      <alignment horizontal="center" vertical="center"/>
    </xf>
    <xf numFmtId="179" fontId="10" fillId="0" borderId="21" xfId="95" applyNumberFormat="1" applyFont="1" applyBorder="1" applyAlignment="1">
      <alignment horizontal="center" vertical="center"/>
    </xf>
    <xf numFmtId="179" fontId="10" fillId="0" borderId="22" xfId="95" applyNumberFormat="1" applyFont="1" applyBorder="1" applyAlignment="1">
      <alignment horizontal="center" vertical="center"/>
    </xf>
    <xf numFmtId="179" fontId="10" fillId="0" borderId="2" xfId="95" applyNumberFormat="1" applyFont="1" applyBorder="1" applyAlignment="1">
      <alignment horizontal="center" vertical="center"/>
    </xf>
    <xf numFmtId="179" fontId="10" fillId="0" borderId="23" xfId="95" applyNumberFormat="1" applyFont="1" applyBorder="1" applyAlignment="1">
      <alignment horizontal="center" vertical="center"/>
    </xf>
    <xf numFmtId="179" fontId="12" fillId="0" borderId="24" xfId="95" applyNumberFormat="1" applyFont="1" applyFill="1" applyBorder="1" applyAlignment="1">
      <alignment horizontal="center" vertical="center" wrapText="1"/>
    </xf>
    <xf numFmtId="179" fontId="12" fillId="0" borderId="25" xfId="95" applyNumberFormat="1" applyFont="1" applyFill="1" applyBorder="1" applyAlignment="1">
      <alignment horizontal="center" vertical="center"/>
    </xf>
    <xf numFmtId="179" fontId="12" fillId="0" borderId="4" xfId="95" applyNumberFormat="1" applyFont="1" applyFill="1" applyBorder="1" applyAlignment="1">
      <alignment horizontal="center" vertical="center" wrapText="1"/>
    </xf>
    <xf numFmtId="0" fontId="12" fillId="0" borderId="4" xfId="95" applyFont="1" applyFill="1" applyBorder="1" applyAlignment="1">
      <alignment horizontal="center" vertical="center" wrapText="1"/>
    </xf>
    <xf numFmtId="0" fontId="12" fillId="0" borderId="26" xfId="95" applyFont="1" applyFill="1" applyBorder="1" applyAlignment="1">
      <alignment horizontal="center" vertical="center" wrapText="1"/>
    </xf>
    <xf numFmtId="179" fontId="12" fillId="0" borderId="27" xfId="95" applyNumberFormat="1" applyFont="1" applyFill="1" applyBorder="1" applyAlignment="1">
      <alignment horizontal="center" vertical="center" wrapText="1"/>
    </xf>
    <xf numFmtId="179" fontId="12" fillId="0" borderId="28" xfId="95" applyNumberFormat="1" applyFont="1" applyFill="1" applyBorder="1" applyAlignment="1">
      <alignment horizontal="center" vertical="center" wrapText="1"/>
    </xf>
    <xf numFmtId="179" fontId="17" fillId="0" borderId="4" xfId="95" applyNumberFormat="1" applyFont="1" applyFill="1" applyBorder="1" applyAlignment="1">
      <alignment horizontal="center" vertical="center" wrapText="1"/>
    </xf>
    <xf numFmtId="0" fontId="13" fillId="0" borderId="4" xfId="95" applyFont="1" applyFill="1" applyBorder="1" applyAlignment="1">
      <alignment horizontal="center" vertical="center" wrapText="1"/>
    </xf>
    <xf numFmtId="0" fontId="12" fillId="0" borderId="14" xfId="95" applyFont="1" applyFill="1" applyBorder="1" applyAlignment="1">
      <alignment horizontal="center" vertical="center" wrapText="1"/>
    </xf>
    <xf numFmtId="0" fontId="6" fillId="0" borderId="3" xfId="90" applyFont="1" applyBorder="1" applyAlignment="1">
      <alignment horizontal="center" vertical="center" wrapText="1"/>
    </xf>
    <xf numFmtId="178" fontId="7" fillId="0" borderId="29" xfId="15" applyNumberFormat="1" applyFont="1" applyBorder="1" applyAlignment="1">
      <alignment horizontal="right" vertical="center"/>
    </xf>
    <xf numFmtId="10" fontId="18" fillId="0" borderId="25" xfId="15" applyNumberFormat="1" applyFont="1" applyBorder="1">
      <alignment vertical="center"/>
    </xf>
    <xf numFmtId="176" fontId="18" fillId="0" borderId="4" xfId="95" applyNumberFormat="1" applyFont="1" applyBorder="1" applyAlignment="1">
      <alignment horizontal="center" vertical="center"/>
    </xf>
    <xf numFmtId="179" fontId="18" fillId="0" borderId="4" xfId="95" applyNumberFormat="1" applyFont="1" applyBorder="1">
      <alignment vertical="center"/>
    </xf>
    <xf numFmtId="179" fontId="18" fillId="0" borderId="30" xfId="95" applyNumberFormat="1" applyFont="1" applyBorder="1">
      <alignment vertical="center"/>
    </xf>
    <xf numFmtId="0" fontId="12" fillId="0" borderId="0" xfId="95" applyFont="1" applyAlignment="1">
      <alignment horizontal="left" vertical="center"/>
    </xf>
    <xf numFmtId="177" fontId="19" fillId="0" borderId="0" xfId="95" applyNumberFormat="1" applyFont="1" applyAlignment="1">
      <alignment horizontal="center" vertical="center"/>
    </xf>
    <xf numFmtId="0" fontId="19" fillId="0" borderId="0" xfId="95" applyFont="1" applyAlignment="1">
      <alignment horizontal="center" vertical="center"/>
    </xf>
    <xf numFmtId="179" fontId="7" fillId="0" borderId="0" xfId="95" applyNumberFormat="1" applyFont="1">
      <alignment vertical="center"/>
    </xf>
    <xf numFmtId="180" fontId="7" fillId="0" borderId="0" xfId="95" applyNumberFormat="1" applyFont="1" applyAlignment="1">
      <alignment horizontal="left" vertical="center"/>
    </xf>
    <xf numFmtId="180" fontId="7" fillId="0" borderId="0" xfId="95" applyNumberFormat="1" applyFont="1">
      <alignment vertical="center"/>
    </xf>
    <xf numFmtId="181" fontId="7" fillId="0" borderId="0" xfId="95" applyNumberFormat="1" applyFont="1">
      <alignment vertical="center"/>
    </xf>
    <xf numFmtId="0" fontId="16" fillId="0" borderId="0" xfId="95" applyFont="1">
      <alignment vertical="center"/>
    </xf>
    <xf numFmtId="179" fontId="10" fillId="0" borderId="31" xfId="95" applyNumberFormat="1" applyFont="1" applyBorder="1" applyAlignment="1">
      <alignment horizontal="center" vertical="center"/>
    </xf>
    <xf numFmtId="0" fontId="10" fillId="0" borderId="32" xfId="95" applyFont="1" applyBorder="1" applyAlignment="1">
      <alignment horizontal="center" vertical="center"/>
    </xf>
    <xf numFmtId="179" fontId="12" fillId="0" borderId="29" xfId="95" applyNumberFormat="1" applyFont="1" applyFill="1" applyBorder="1" applyAlignment="1">
      <alignment horizontal="center" vertical="center" wrapText="1"/>
    </xf>
    <xf numFmtId="179" fontId="17" fillId="0" borderId="29" xfId="95" applyNumberFormat="1" applyFont="1" applyFill="1" applyBorder="1" applyAlignment="1">
      <alignment horizontal="center" vertical="center" wrapText="1"/>
    </xf>
    <xf numFmtId="0" fontId="17" fillId="0" borderId="4" xfId="95" applyFont="1" applyFill="1" applyBorder="1" applyAlignment="1">
      <alignment horizontal="center" vertical="center" wrapText="1"/>
    </xf>
    <xf numFmtId="181" fontId="20" fillId="0" borderId="29" xfId="95" applyNumberFormat="1" applyFont="1" applyBorder="1" applyAlignment="1">
      <alignment horizontal="right" vertical="center"/>
    </xf>
    <xf numFmtId="9" fontId="18" fillId="0" borderId="4" xfId="95" applyNumberFormat="1" applyFont="1" applyBorder="1">
      <alignment vertical="center"/>
    </xf>
    <xf numFmtId="10" fontId="18" fillId="0" borderId="4" xfId="95" applyNumberFormat="1" applyFont="1" applyBorder="1">
      <alignment vertical="center"/>
    </xf>
    <xf numFmtId="0" fontId="7" fillId="0" borderId="0" xfId="95" applyFont="1">
      <alignment vertical="center"/>
    </xf>
    <xf numFmtId="0" fontId="10" fillId="0" borderId="21" xfId="95" applyFont="1" applyBorder="1" applyAlignment="1">
      <alignment horizontal="center" vertical="center"/>
    </xf>
    <xf numFmtId="9" fontId="18" fillId="0" borderId="4" xfId="95" applyNumberFormat="1" applyFont="1" applyFill="1" applyBorder="1">
      <alignment vertical="center"/>
    </xf>
    <xf numFmtId="9" fontId="18" fillId="0" borderId="30" xfId="95" applyNumberFormat="1" applyFont="1" applyFill="1" applyBorder="1">
      <alignment vertical="center"/>
    </xf>
    <xf numFmtId="10" fontId="20" fillId="0" borderId="29" xfId="95" applyNumberFormat="1" applyFont="1" applyFill="1" applyBorder="1">
      <alignment vertical="center"/>
    </xf>
    <xf numFmtId="0" fontId="7" fillId="0" borderId="0" xfId="95" applyFont="1" applyFill="1">
      <alignment vertical="center"/>
    </xf>
    <xf numFmtId="0" fontId="0" fillId="0" borderId="0" xfId="0" applyFont="1" applyFill="1" applyAlignment="1"/>
    <xf numFmtId="0" fontId="7" fillId="0" borderId="7" xfId="0" applyFont="1" applyFill="1" applyBorder="1" applyAlignment="1"/>
    <xf numFmtId="0" fontId="0" fillId="0" borderId="7" xfId="0" applyFont="1" applyFill="1" applyBorder="1" applyAlignment="1"/>
    <xf numFmtId="43" fontId="8" fillId="0" borderId="7" xfId="0" applyNumberFormat="1" applyFont="1" applyFill="1" applyBorder="1" applyAlignment="1"/>
    <xf numFmtId="0" fontId="9" fillId="0" borderId="8" xfId="0" applyFont="1" applyFill="1" applyBorder="1" applyAlignment="1">
      <alignment horizontal="center"/>
    </xf>
    <xf numFmtId="0" fontId="0" fillId="0" borderId="9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0" fillId="0" borderId="17" xfId="0" applyNumberFormat="1" applyBorder="1" applyAlignment="1">
      <alignment horizontal="center" vertical="center" wrapText="1"/>
    </xf>
    <xf numFmtId="10" fontId="0" fillId="0" borderId="17" xfId="0" applyNumberForma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3" fontId="10" fillId="0" borderId="7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82" fontId="0" fillId="0" borderId="17" xfId="0" applyNumberFormat="1" applyBorder="1" applyAlignment="1">
      <alignment horizontal="center" vertical="center" wrapText="1"/>
    </xf>
    <xf numFmtId="182" fontId="0" fillId="0" borderId="19" xfId="0" applyNumberFormat="1" applyFill="1" applyBorder="1" applyAlignment="1">
      <alignment horizontal="center" vertical="center" wrapText="1"/>
    </xf>
    <xf numFmtId="0" fontId="10" fillId="0" borderId="0" xfId="95" applyFont="1">
      <alignment vertical="center"/>
    </xf>
    <xf numFmtId="14" fontId="18" fillId="0" borderId="0" xfId="95" applyNumberFormat="1" applyFont="1" applyAlignment="1">
      <alignment horizontal="center" vertical="center"/>
    </xf>
    <xf numFmtId="0" fontId="12" fillId="0" borderId="33" xfId="95" applyFont="1" applyFill="1" applyBorder="1" applyAlignment="1">
      <alignment horizontal="center" vertical="center"/>
    </xf>
    <xf numFmtId="179" fontId="12" fillId="0" borderId="2" xfId="95" applyNumberFormat="1" applyFont="1" applyFill="1" applyBorder="1" applyAlignment="1">
      <alignment horizontal="center" vertical="center" wrapText="1"/>
    </xf>
    <xf numFmtId="0" fontId="12" fillId="0" borderId="2" xfId="95" applyFont="1" applyFill="1" applyBorder="1" applyAlignment="1">
      <alignment horizontal="center" vertical="center" wrapText="1"/>
    </xf>
    <xf numFmtId="0" fontId="12" fillId="0" borderId="34" xfId="95" applyFont="1" applyFill="1" applyBorder="1" applyAlignment="1">
      <alignment horizontal="center" vertical="center"/>
    </xf>
    <xf numFmtId="0" fontId="10" fillId="0" borderId="3" xfId="95" applyFont="1" applyBorder="1" applyAlignment="1">
      <alignment horizontal="center" vertical="center"/>
    </xf>
    <xf numFmtId="179" fontId="18" fillId="0" borderId="4" xfId="95" applyNumberFormat="1" applyFont="1" applyBorder="1" applyAlignment="1">
      <alignment horizontal="center" vertical="center"/>
    </xf>
    <xf numFmtId="180" fontId="18" fillId="0" borderId="4" xfId="95" applyNumberFormat="1" applyFont="1" applyBorder="1" applyAlignment="1">
      <alignment horizontal="center" vertical="center"/>
    </xf>
    <xf numFmtId="180" fontId="18" fillId="0" borderId="4" xfId="95" applyNumberFormat="1" applyFont="1" applyFill="1" applyBorder="1" applyAlignment="1">
      <alignment horizontal="center" vertical="center"/>
    </xf>
    <xf numFmtId="0" fontId="10" fillId="0" borderId="35" xfId="95" applyFont="1" applyBorder="1" applyAlignment="1">
      <alignment horizontal="center" vertical="center"/>
    </xf>
    <xf numFmtId="176" fontId="18" fillId="0" borderId="26" xfId="95" applyNumberFormat="1" applyFont="1" applyBorder="1" applyAlignment="1">
      <alignment horizontal="center" vertical="center"/>
    </xf>
    <xf numFmtId="180" fontId="10" fillId="0" borderId="35" xfId="95" applyNumberFormat="1" applyFont="1" applyBorder="1" applyAlignment="1">
      <alignment horizontal="center" vertical="center" wrapText="1"/>
    </xf>
    <xf numFmtId="180" fontId="10" fillId="0" borderId="36" xfId="95" applyNumberFormat="1" applyFont="1" applyBorder="1" applyAlignment="1">
      <alignment horizontal="center" vertical="center" wrapText="1"/>
    </xf>
    <xf numFmtId="176" fontId="20" fillId="0" borderId="17" xfId="95" applyNumberFormat="1" applyFont="1" applyBorder="1" applyAlignment="1">
      <alignment horizontal="center" vertical="center"/>
    </xf>
    <xf numFmtId="0" fontId="6" fillId="0" borderId="0" xfId="95" applyFont="1" applyFill="1">
      <alignment vertical="center"/>
    </xf>
    <xf numFmtId="43" fontId="10" fillId="0" borderId="0" xfId="0" applyNumberFormat="1" applyFont="1" applyFill="1" applyBorder="1" applyAlignment="1">
      <alignment horizontal="right" vertical="center"/>
    </xf>
    <xf numFmtId="0" fontId="10" fillId="0" borderId="2" xfId="95" applyFont="1" applyBorder="1" applyAlignment="1">
      <alignment horizontal="center" vertical="center" wrapText="1"/>
    </xf>
    <xf numFmtId="0" fontId="10" fillId="0" borderId="5" xfId="95" applyFont="1" applyBorder="1" applyAlignment="1">
      <alignment horizontal="center" vertical="center" wrapText="1"/>
    </xf>
    <xf numFmtId="0" fontId="16" fillId="0" borderId="4" xfId="95" applyFont="1" applyBorder="1" applyAlignment="1">
      <alignment horizontal="center" vertical="center"/>
    </xf>
    <xf numFmtId="0" fontId="16" fillId="0" borderId="6" xfId="95" applyFont="1" applyBorder="1" applyAlignment="1">
      <alignment horizontal="center" vertical="center"/>
    </xf>
    <xf numFmtId="180" fontId="20" fillId="0" borderId="4" xfId="95" applyNumberFormat="1" applyFont="1" applyFill="1" applyBorder="1" applyAlignment="1">
      <alignment horizontal="center" vertical="center"/>
    </xf>
    <xf numFmtId="181" fontId="20" fillId="0" borderId="4" xfId="95" applyNumberFormat="1" applyFont="1" applyBorder="1" applyAlignment="1">
      <alignment horizontal="center" vertical="center"/>
    </xf>
    <xf numFmtId="181" fontId="20" fillId="0" borderId="30" xfId="95" applyNumberFormat="1" applyFont="1" applyBorder="1" applyAlignment="1">
      <alignment horizontal="center" vertical="center"/>
    </xf>
    <xf numFmtId="181" fontId="16" fillId="0" borderId="37" xfId="95" applyNumberFormat="1" applyFont="1" applyBorder="1" applyAlignment="1">
      <alignment horizontal="center" vertical="center" wrapText="1"/>
    </xf>
    <xf numFmtId="181" fontId="16" fillId="0" borderId="38" xfId="95" applyNumberFormat="1" applyFont="1" applyBorder="1" applyAlignment="1">
      <alignment horizontal="center" vertical="center" wrapText="1"/>
    </xf>
    <xf numFmtId="181" fontId="20" fillId="0" borderId="39" xfId="95" applyNumberFormat="1" applyFont="1" applyBorder="1" applyAlignment="1">
      <alignment horizontal="center" vertical="center"/>
    </xf>
    <xf numFmtId="181" fontId="16" fillId="0" borderId="40" xfId="95" applyNumberFormat="1" applyFont="1" applyBorder="1" applyAlignment="1">
      <alignment horizontal="center" vertical="center" wrapText="1"/>
    </xf>
    <xf numFmtId="0" fontId="21" fillId="0" borderId="0" xfId="103" applyFont="1" applyAlignment="1"/>
    <xf numFmtId="0" fontId="21" fillId="0" borderId="0" xfId="103">
      <alignment vertical="center"/>
    </xf>
    <xf numFmtId="10" fontId="22" fillId="0" borderId="0" xfId="103" applyNumberFormat="1" applyFont="1" applyFill="1" applyBorder="1" applyAlignment="1" applyProtection="1">
      <alignment horizontal="center" vertical="center"/>
    </xf>
    <xf numFmtId="0" fontId="21" fillId="0" borderId="0" xfId="103" applyBorder="1" applyAlignment="1">
      <alignment horizontal="left" vertical="center"/>
    </xf>
    <xf numFmtId="0" fontId="21" fillId="0" borderId="0" xfId="103" applyAlignment="1">
      <alignment horizontal="right" vertical="center"/>
    </xf>
    <xf numFmtId="0" fontId="23" fillId="4" borderId="9" xfId="103" applyNumberFormat="1" applyFont="1" applyFill="1" applyBorder="1" applyAlignment="1" applyProtection="1">
      <alignment horizontal="right" vertical="center"/>
    </xf>
    <xf numFmtId="0" fontId="23" fillId="4" borderId="10" xfId="103" applyNumberFormat="1" applyFont="1" applyFill="1" applyBorder="1" applyAlignment="1" applyProtection="1">
      <alignment horizontal="right" vertical="center"/>
    </xf>
    <xf numFmtId="0" fontId="24" fillId="4" borderId="11" xfId="103" applyNumberFormat="1" applyFont="1" applyFill="1" applyBorder="1" applyAlignment="1" applyProtection="1">
      <alignment horizontal="center" vertical="center" wrapText="1"/>
    </xf>
    <xf numFmtId="0" fontId="24" fillId="4" borderId="41" xfId="103" applyNumberFormat="1" applyFont="1" applyFill="1" applyBorder="1" applyAlignment="1" applyProtection="1">
      <alignment horizontal="center" vertical="center"/>
    </xf>
    <xf numFmtId="0" fontId="24" fillId="4" borderId="10" xfId="103" applyNumberFormat="1" applyFont="1" applyFill="1" applyBorder="1" applyAlignment="1" applyProtection="1">
      <alignment horizontal="center" vertical="center"/>
    </xf>
    <xf numFmtId="0" fontId="23" fillId="4" borderId="2" xfId="103" applyNumberFormat="1" applyFont="1" applyFill="1" applyBorder="1" applyAlignment="1" applyProtection="1">
      <alignment horizontal="center" vertical="center"/>
    </xf>
    <xf numFmtId="0" fontId="23" fillId="4" borderId="12" xfId="103" applyNumberFormat="1" applyFont="1" applyFill="1" applyBorder="1" applyAlignment="1" applyProtection="1">
      <alignment horizontal="left" vertical="center"/>
    </xf>
    <xf numFmtId="0" fontId="23" fillId="4" borderId="13" xfId="103" applyNumberFormat="1" applyFont="1" applyFill="1" applyBorder="1" applyAlignment="1" applyProtection="1">
      <alignment horizontal="left" vertical="center"/>
    </xf>
    <xf numFmtId="0" fontId="24" fillId="4" borderId="14" xfId="103" applyNumberFormat="1" applyFont="1" applyFill="1" applyBorder="1" applyAlignment="1" applyProtection="1">
      <alignment horizontal="center" vertical="center" wrapText="1"/>
    </xf>
    <xf numFmtId="0" fontId="24" fillId="4" borderId="42" xfId="103" applyNumberFormat="1" applyFont="1" applyFill="1" applyBorder="1" applyAlignment="1" applyProtection="1">
      <alignment horizontal="center" vertical="center"/>
    </xf>
    <xf numFmtId="0" fontId="24" fillId="4" borderId="13" xfId="103" applyNumberFormat="1" applyFont="1" applyFill="1" applyBorder="1" applyAlignment="1" applyProtection="1">
      <alignment horizontal="center" vertical="center"/>
    </xf>
    <xf numFmtId="0" fontId="23" fillId="4" borderId="42" xfId="103" applyNumberFormat="1" applyFont="1" applyFill="1" applyBorder="1" applyAlignment="1" applyProtection="1">
      <alignment horizontal="center" vertical="center"/>
    </xf>
    <xf numFmtId="0" fontId="25" fillId="0" borderId="35" xfId="103" applyNumberFormat="1" applyFont="1" applyFill="1" applyBorder="1" applyAlignment="1" applyProtection="1">
      <alignment horizontal="left" vertical="center"/>
    </xf>
    <xf numFmtId="0" fontId="25" fillId="0" borderId="26" xfId="103" applyNumberFormat="1" applyFont="1" applyFill="1" applyBorder="1" applyAlignment="1" applyProtection="1">
      <alignment horizontal="left" vertical="center"/>
    </xf>
    <xf numFmtId="176" fontId="26" fillId="5" borderId="4" xfId="103" applyNumberFormat="1" applyFont="1" applyFill="1" applyBorder="1" applyAlignment="1" applyProtection="1">
      <alignment horizontal="right" vertical="center"/>
    </xf>
    <xf numFmtId="176" fontId="26" fillId="5" borderId="14" xfId="103" applyNumberFormat="1" applyFont="1" applyFill="1" applyBorder="1" applyAlignment="1" applyProtection="1">
      <alignment horizontal="right" vertical="center"/>
    </xf>
    <xf numFmtId="10" fontId="26" fillId="5" borderId="4" xfId="103" applyNumberFormat="1" applyFont="1" applyFill="1" applyBorder="1" applyAlignment="1" applyProtection="1">
      <alignment horizontal="right" vertical="center"/>
    </xf>
    <xf numFmtId="43" fontId="26" fillId="5" borderId="4" xfId="103" applyNumberFormat="1" applyFont="1" applyFill="1" applyBorder="1" applyAlignment="1" applyProtection="1">
      <alignment horizontal="right" vertical="center"/>
    </xf>
    <xf numFmtId="0" fontId="25" fillId="0" borderId="43" xfId="103" applyNumberFormat="1" applyFont="1" applyFill="1" applyBorder="1" applyAlignment="1" applyProtection="1">
      <alignment horizontal="left" vertical="center"/>
    </xf>
    <xf numFmtId="0" fontId="25" fillId="0" borderId="44" xfId="103" applyNumberFormat="1" applyFont="1" applyFill="1" applyBorder="1" applyAlignment="1" applyProtection="1">
      <alignment horizontal="left" vertical="center"/>
    </xf>
    <xf numFmtId="176" fontId="26" fillId="5" borderId="30" xfId="103" applyNumberFormat="1" applyFont="1" applyFill="1" applyBorder="1" applyAlignment="1" applyProtection="1">
      <alignment horizontal="right" vertical="center"/>
    </xf>
    <xf numFmtId="176" fontId="27" fillId="5" borderId="4" xfId="103" applyNumberFormat="1" applyFont="1" applyFill="1" applyBorder="1" applyAlignment="1" applyProtection="1">
      <alignment horizontal="right" vertical="center"/>
    </xf>
    <xf numFmtId="43" fontId="26" fillId="5" borderId="45" xfId="103" applyNumberFormat="1" applyFont="1" applyFill="1" applyBorder="1" applyAlignment="1" applyProtection="1">
      <alignment horizontal="right" vertical="center"/>
    </xf>
    <xf numFmtId="43" fontId="26" fillId="5" borderId="30" xfId="103" applyNumberFormat="1" applyFont="1" applyFill="1" applyBorder="1" applyAlignment="1" applyProtection="1">
      <alignment horizontal="right" vertical="center"/>
    </xf>
    <xf numFmtId="0" fontId="25" fillId="5" borderId="3" xfId="103" applyNumberFormat="1" applyFont="1" applyFill="1" applyBorder="1" applyAlignment="1" applyProtection="1">
      <alignment horizontal="left" vertical="center"/>
    </xf>
    <xf numFmtId="0" fontId="25" fillId="5" borderId="4" xfId="103" applyNumberFormat="1" applyFont="1" applyFill="1" applyBorder="1" applyAlignment="1" applyProtection="1">
      <alignment horizontal="left" vertical="center"/>
    </xf>
    <xf numFmtId="10" fontId="26" fillId="5" borderId="30" xfId="103" applyNumberFormat="1" applyFont="1" applyFill="1" applyBorder="1" applyAlignment="1" applyProtection="1">
      <alignment horizontal="right" vertical="center"/>
    </xf>
    <xf numFmtId="0" fontId="28" fillId="0" borderId="35" xfId="103" applyFont="1" applyFill="1" applyBorder="1" applyAlignment="1">
      <alignment horizontal="center" vertical="center"/>
    </xf>
    <xf numFmtId="0" fontId="29" fillId="0" borderId="13" xfId="103" applyNumberFormat="1" applyFont="1" applyFill="1" applyBorder="1" applyAlignment="1" applyProtection="1">
      <alignment horizontal="left" vertical="center"/>
    </xf>
    <xf numFmtId="176" fontId="30" fillId="0" borderId="30" xfId="103" applyNumberFormat="1" applyFont="1" applyFill="1" applyBorder="1" applyAlignment="1" applyProtection="1">
      <alignment horizontal="right" vertical="center"/>
    </xf>
    <xf numFmtId="10" fontId="30" fillId="0" borderId="30" xfId="103" applyNumberFormat="1" applyFont="1" applyFill="1" applyBorder="1" applyAlignment="1" applyProtection="1">
      <alignment horizontal="right" vertical="center"/>
    </xf>
    <xf numFmtId="0" fontId="28" fillId="0" borderId="46" xfId="103" applyFont="1" applyFill="1" applyBorder="1" applyAlignment="1">
      <alignment horizontal="center" vertical="center"/>
    </xf>
    <xf numFmtId="0" fontId="29" fillId="0" borderId="44" xfId="103" applyNumberFormat="1" applyFont="1" applyFill="1" applyBorder="1" applyAlignment="1" applyProtection="1">
      <alignment horizontal="left" vertical="center"/>
    </xf>
    <xf numFmtId="176" fontId="29" fillId="0" borderId="44" xfId="103" applyNumberFormat="1" applyFont="1" applyFill="1" applyBorder="1" applyAlignment="1" applyProtection="1">
      <alignment horizontal="left" vertical="center"/>
    </xf>
    <xf numFmtId="0" fontId="29" fillId="6" borderId="47" xfId="103" applyNumberFormat="1" applyFont="1" applyFill="1" applyBorder="1" applyAlignment="1" applyProtection="1">
      <alignment horizontal="left" vertical="center"/>
    </xf>
    <xf numFmtId="176" fontId="30" fillId="6" borderId="30" xfId="103" applyNumberFormat="1" applyFont="1" applyFill="1" applyBorder="1" applyAlignment="1" applyProtection="1">
      <alignment horizontal="right" vertical="center"/>
    </xf>
    <xf numFmtId="10" fontId="30" fillId="6" borderId="30" xfId="103" applyNumberFormat="1" applyFont="1" applyFill="1" applyBorder="1" applyAlignment="1" applyProtection="1">
      <alignment horizontal="right" vertical="center"/>
    </xf>
    <xf numFmtId="43" fontId="30" fillId="7" borderId="30" xfId="103" applyNumberFormat="1" applyFont="1" applyFill="1" applyBorder="1" applyAlignment="1" applyProtection="1">
      <alignment horizontal="right" vertical="center"/>
    </xf>
    <xf numFmtId="176" fontId="30" fillId="6" borderId="48" xfId="103" applyNumberFormat="1" applyFont="1" applyFill="1" applyBorder="1" applyAlignment="1" applyProtection="1">
      <alignment horizontal="right" vertical="center"/>
    </xf>
    <xf numFmtId="10" fontId="30" fillId="6" borderId="48" xfId="103" applyNumberFormat="1" applyFont="1" applyFill="1" applyBorder="1" applyAlignment="1" applyProtection="1">
      <alignment horizontal="right" vertical="center"/>
    </xf>
    <xf numFmtId="43" fontId="30" fillId="7" borderId="48" xfId="103" applyNumberFormat="1" applyFont="1" applyFill="1" applyBorder="1" applyAlignment="1" applyProtection="1">
      <alignment horizontal="right" vertical="center"/>
    </xf>
    <xf numFmtId="0" fontId="29" fillId="6" borderId="4" xfId="103" applyNumberFormat="1" applyFont="1" applyFill="1" applyBorder="1" applyAlignment="1" applyProtection="1">
      <alignment horizontal="left" vertical="center"/>
    </xf>
    <xf numFmtId="0" fontId="25" fillId="0" borderId="3" xfId="103" applyNumberFormat="1" applyFont="1" applyFill="1" applyBorder="1" applyAlignment="1" applyProtection="1">
      <alignment horizontal="left" vertical="center"/>
    </xf>
    <xf numFmtId="0" fontId="25" fillId="0" borderId="4" xfId="103" applyNumberFormat="1" applyFont="1" applyFill="1" applyBorder="1" applyAlignment="1" applyProtection="1">
      <alignment horizontal="left" vertical="center"/>
    </xf>
    <xf numFmtId="181" fontId="26" fillId="0" borderId="30" xfId="103" applyNumberFormat="1" applyFont="1" applyFill="1" applyBorder="1" applyAlignment="1" applyProtection="1">
      <alignment horizontal="right" vertical="center"/>
    </xf>
    <xf numFmtId="10" fontId="26" fillId="0" borderId="30" xfId="103" applyNumberFormat="1" applyFont="1" applyFill="1" applyBorder="1" applyAlignment="1" applyProtection="1">
      <alignment horizontal="right" vertical="center"/>
    </xf>
    <xf numFmtId="43" fontId="26" fillId="0" borderId="30" xfId="103" applyNumberFormat="1" applyFont="1" applyFill="1" applyBorder="1" applyAlignment="1" applyProtection="1">
      <alignment horizontal="right" vertical="center"/>
    </xf>
    <xf numFmtId="176" fontId="27" fillId="0" borderId="6" xfId="103" applyNumberFormat="1" applyFont="1" applyFill="1" applyBorder="1" applyAlignment="1" applyProtection="1">
      <alignment horizontal="right" vertical="center"/>
    </xf>
    <xf numFmtId="176" fontId="27" fillId="0" borderId="30" xfId="103" applyNumberFormat="1" applyFont="1" applyFill="1" applyBorder="1" applyAlignment="1" applyProtection="1">
      <alignment horizontal="right" vertical="center"/>
    </xf>
    <xf numFmtId="176" fontId="26" fillId="0" borderId="30" xfId="103" applyNumberFormat="1" applyFont="1" applyFill="1" applyBorder="1" applyAlignment="1" applyProtection="1">
      <alignment horizontal="right" vertical="center"/>
    </xf>
    <xf numFmtId="10" fontId="27" fillId="0" borderId="30" xfId="103" applyNumberFormat="1" applyFont="1" applyFill="1" applyBorder="1" applyAlignment="1" applyProtection="1">
      <alignment horizontal="right" vertical="center"/>
    </xf>
    <xf numFmtId="43" fontId="27" fillId="0" borderId="30" xfId="103" applyNumberFormat="1" applyFont="1" applyFill="1" applyBorder="1" applyAlignment="1" applyProtection="1">
      <alignment horizontal="right" vertical="center"/>
    </xf>
    <xf numFmtId="0" fontId="25" fillId="0" borderId="49" xfId="103" applyNumberFormat="1" applyFont="1" applyFill="1" applyBorder="1" applyAlignment="1" applyProtection="1">
      <alignment horizontal="center" vertical="center"/>
    </xf>
    <xf numFmtId="0" fontId="29" fillId="0" borderId="14" xfId="103" applyFont="1" applyFill="1" applyBorder="1" applyAlignment="1">
      <alignment horizontal="left" vertical="center" wrapText="1"/>
    </xf>
    <xf numFmtId="181" fontId="31" fillId="0" borderId="30" xfId="103" applyNumberFormat="1" applyFont="1" applyBorder="1">
      <alignment vertical="center"/>
    </xf>
    <xf numFmtId="10" fontId="31" fillId="0" borderId="30" xfId="103" applyNumberFormat="1" applyFont="1" applyBorder="1">
      <alignment vertical="center"/>
    </xf>
    <xf numFmtId="176" fontId="31" fillId="0" borderId="4" xfId="103" applyNumberFormat="1" applyFont="1" applyBorder="1">
      <alignment vertical="center"/>
    </xf>
    <xf numFmtId="43" fontId="31" fillId="0" borderId="4" xfId="103" applyNumberFormat="1" applyFont="1" applyBorder="1">
      <alignment vertical="center"/>
    </xf>
    <xf numFmtId="0" fontId="25" fillId="0" borderId="50" xfId="103" applyNumberFormat="1" applyFont="1" applyFill="1" applyBorder="1" applyAlignment="1" applyProtection="1">
      <alignment horizontal="center" vertical="center"/>
    </xf>
    <xf numFmtId="181" fontId="31" fillId="6" borderId="30" xfId="103" applyNumberFormat="1" applyFont="1" applyFill="1" applyBorder="1">
      <alignment vertical="center"/>
    </xf>
    <xf numFmtId="43" fontId="31" fillId="0" borderId="30" xfId="103" applyNumberFormat="1" applyFont="1" applyBorder="1">
      <alignment vertical="center"/>
    </xf>
    <xf numFmtId="0" fontId="29" fillId="0" borderId="4" xfId="103" applyFont="1" applyFill="1" applyBorder="1" applyAlignment="1">
      <alignment horizontal="left" vertical="center" wrapText="1"/>
    </xf>
    <xf numFmtId="10" fontId="31" fillId="6" borderId="30" xfId="103" applyNumberFormat="1" applyFont="1" applyFill="1" applyBorder="1">
      <alignment vertical="center"/>
    </xf>
    <xf numFmtId="176" fontId="31" fillId="0" borderId="30" xfId="103" applyNumberFormat="1" applyFont="1" applyBorder="1">
      <alignment vertical="center"/>
    </xf>
    <xf numFmtId="43" fontId="30" fillId="0" borderId="30" xfId="103" applyNumberFormat="1" applyFont="1" applyFill="1" applyBorder="1" applyAlignment="1" applyProtection="1">
      <alignment horizontal="right" vertical="center"/>
    </xf>
    <xf numFmtId="0" fontId="29" fillId="7" borderId="4" xfId="103" applyFont="1" applyFill="1" applyBorder="1" applyAlignment="1">
      <alignment horizontal="left" vertical="center" wrapText="1"/>
    </xf>
    <xf numFmtId="43" fontId="30" fillId="0" borderId="4" xfId="103" applyNumberFormat="1" applyFont="1" applyFill="1" applyBorder="1" applyAlignment="1" applyProtection="1">
      <alignment horizontal="right" vertical="center"/>
    </xf>
    <xf numFmtId="0" fontId="29" fillId="0" borderId="30" xfId="103" applyFont="1" applyFill="1" applyBorder="1" applyAlignment="1">
      <alignment horizontal="left" vertical="center" wrapText="1"/>
    </xf>
    <xf numFmtId="0" fontId="25" fillId="0" borderId="12" xfId="103" applyNumberFormat="1" applyFont="1" applyFill="1" applyBorder="1" applyAlignment="1" applyProtection="1">
      <alignment horizontal="center" vertical="center"/>
    </xf>
    <xf numFmtId="0" fontId="29" fillId="7" borderId="4" xfId="103" applyNumberFormat="1" applyFont="1" applyFill="1" applyBorder="1" applyAlignment="1" applyProtection="1">
      <alignment vertical="center"/>
    </xf>
    <xf numFmtId="176" fontId="26" fillId="0" borderId="48" xfId="103" applyNumberFormat="1" applyFont="1" applyFill="1" applyBorder="1" applyAlignment="1" applyProtection="1">
      <alignment horizontal="right" vertical="center"/>
    </xf>
    <xf numFmtId="10" fontId="26" fillId="0" borderId="48" xfId="103" applyNumberFormat="1" applyFont="1" applyFill="1" applyBorder="1" applyAlignment="1" applyProtection="1">
      <alignment horizontal="right" vertical="center"/>
    </xf>
    <xf numFmtId="43" fontId="26" fillId="0" borderId="48" xfId="103" applyNumberFormat="1" applyFont="1" applyFill="1" applyBorder="1" applyAlignment="1" applyProtection="1">
      <alignment horizontal="right" vertical="center"/>
    </xf>
    <xf numFmtId="0" fontId="25" fillId="8" borderId="36" xfId="103" applyNumberFormat="1" applyFont="1" applyFill="1" applyBorder="1" applyAlignment="1" applyProtection="1">
      <alignment horizontal="left" vertical="center"/>
    </xf>
    <xf numFmtId="0" fontId="25" fillId="8" borderId="17" xfId="103" applyNumberFormat="1" applyFont="1" applyFill="1" applyBorder="1" applyAlignment="1" applyProtection="1">
      <alignment horizontal="left" vertical="center"/>
    </xf>
    <xf numFmtId="176" fontId="27" fillId="8" borderId="39" xfId="103" applyNumberFormat="1" applyFont="1" applyFill="1" applyBorder="1" applyAlignment="1" applyProtection="1">
      <alignment horizontal="right" vertical="center"/>
    </xf>
    <xf numFmtId="10" fontId="27" fillId="8" borderId="39" xfId="103" applyNumberFormat="1" applyFont="1" applyFill="1" applyBorder="1" applyAlignment="1" applyProtection="1">
      <alignment horizontal="right" vertical="center"/>
    </xf>
    <xf numFmtId="43" fontId="27" fillId="8" borderId="39" xfId="103" applyNumberFormat="1" applyFont="1" applyFill="1" applyBorder="1" applyAlignment="1" applyProtection="1">
      <alignment horizontal="right" vertical="center"/>
    </xf>
    <xf numFmtId="0" fontId="21" fillId="0" borderId="0" xfId="103" applyFont="1" applyAlignment="1">
      <alignment horizontal="left"/>
    </xf>
    <xf numFmtId="43" fontId="21" fillId="0" borderId="0" xfId="103" applyNumberFormat="1">
      <alignment vertical="center"/>
    </xf>
    <xf numFmtId="43" fontId="32" fillId="0" borderId="44" xfId="103" applyNumberFormat="1" applyFont="1" applyBorder="1">
      <alignment vertical="center"/>
    </xf>
    <xf numFmtId="176" fontId="32" fillId="0" borderId="4" xfId="103" applyNumberFormat="1" applyFont="1" applyBorder="1">
      <alignment vertical="center"/>
    </xf>
    <xf numFmtId="176" fontId="27" fillId="5" borderId="51" xfId="103" applyNumberFormat="1" applyFont="1" applyFill="1" applyBorder="1" applyAlignment="1" applyProtection="1">
      <alignment horizontal="right" vertical="center"/>
    </xf>
    <xf numFmtId="176" fontId="8" fillId="0" borderId="30" xfId="103" applyNumberFormat="1" applyFont="1" applyFill="1" applyBorder="1" applyAlignment="1" applyProtection="1">
      <alignment horizontal="right" vertical="center"/>
    </xf>
    <xf numFmtId="176" fontId="30" fillId="0" borderId="4" xfId="103" applyNumberFormat="1" applyFont="1" applyFill="1" applyBorder="1" applyAlignment="1" applyProtection="1">
      <alignment horizontal="right" vertical="center"/>
    </xf>
    <xf numFmtId="176" fontId="8" fillId="0" borderId="4" xfId="103" applyNumberFormat="1" applyFont="1" applyFill="1" applyBorder="1" applyAlignment="1" applyProtection="1">
      <alignment horizontal="right" vertical="center"/>
    </xf>
    <xf numFmtId="176" fontId="8" fillId="0" borderId="6" xfId="103" applyNumberFormat="1" applyFont="1" applyFill="1" applyBorder="1" applyAlignment="1" applyProtection="1">
      <alignment horizontal="right" vertical="center"/>
    </xf>
    <xf numFmtId="176" fontId="8" fillId="0" borderId="48" xfId="103" applyNumberFormat="1" applyFont="1" applyFill="1" applyBorder="1" applyAlignment="1" applyProtection="1">
      <alignment horizontal="right" vertical="center"/>
    </xf>
    <xf numFmtId="176" fontId="8" fillId="0" borderId="37" xfId="103" applyNumberFormat="1" applyFont="1" applyFill="1" applyBorder="1" applyAlignment="1" applyProtection="1">
      <alignment horizontal="right" vertical="center"/>
    </xf>
    <xf numFmtId="43" fontId="8" fillId="0" borderId="6" xfId="103" applyNumberFormat="1" applyFont="1" applyFill="1" applyBorder="1" applyAlignment="1" applyProtection="1">
      <alignment horizontal="right" vertical="center"/>
    </xf>
    <xf numFmtId="43" fontId="8" fillId="0" borderId="30" xfId="103" applyNumberFormat="1" applyFont="1" applyFill="1" applyBorder="1" applyAlignment="1" applyProtection="1">
      <alignment horizontal="right" vertical="center"/>
    </xf>
    <xf numFmtId="0" fontId="23" fillId="4" borderId="18" xfId="103" applyNumberFormat="1" applyFont="1" applyFill="1" applyBorder="1" applyAlignment="1" applyProtection="1">
      <alignment horizontal="center" vertical="center"/>
    </xf>
    <xf numFmtId="0" fontId="21" fillId="0" borderId="0" xfId="103" applyFill="1">
      <alignment vertical="center"/>
    </xf>
    <xf numFmtId="0" fontId="23" fillId="4" borderId="52" xfId="103" applyNumberFormat="1" applyFont="1" applyFill="1" applyBorder="1" applyAlignment="1" applyProtection="1">
      <alignment horizontal="center" vertical="center"/>
    </xf>
    <xf numFmtId="0" fontId="33" fillId="0" borderId="6" xfId="103" applyFont="1" applyBorder="1" applyAlignment="1">
      <alignment vertical="center" wrapText="1"/>
    </xf>
    <xf numFmtId="43" fontId="30" fillId="0" borderId="48" xfId="103" applyNumberFormat="1" applyFont="1" applyFill="1" applyBorder="1" applyAlignment="1" applyProtection="1">
      <alignment horizontal="right" vertical="center"/>
    </xf>
    <xf numFmtId="0" fontId="33" fillId="0" borderId="6" xfId="103" applyFont="1" applyBorder="1">
      <alignment vertical="center"/>
    </xf>
    <xf numFmtId="180" fontId="33" fillId="0" borderId="6" xfId="103" applyNumberFormat="1" applyFont="1" applyBorder="1" applyAlignment="1">
      <alignment vertical="center" wrapText="1"/>
    </xf>
    <xf numFmtId="0" fontId="33" fillId="0" borderId="37" xfId="103" applyFont="1" applyBorder="1" applyAlignment="1">
      <alignment vertical="center" wrapText="1"/>
    </xf>
    <xf numFmtId="0" fontId="33" fillId="8" borderId="19" xfId="103" applyFont="1" applyFill="1" applyBorder="1">
      <alignment vertical="center"/>
    </xf>
    <xf numFmtId="44" fontId="21" fillId="0" borderId="0" xfId="103" applyNumberFormat="1">
      <alignment vertical="center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10" fillId="0" borderId="0" xfId="0" applyFont="1" applyFill="1" applyBorder="1"/>
    <xf numFmtId="0" fontId="7" fillId="0" borderId="0" xfId="0" applyFont="1" applyFill="1" applyBorder="1" applyAlignment="1">
      <alignment horizontal="center"/>
    </xf>
    <xf numFmtId="43" fontId="8" fillId="0" borderId="0" xfId="0" applyNumberFormat="1" applyFont="1" applyFill="1" applyBorder="1"/>
    <xf numFmtId="0" fontId="0" fillId="0" borderId="0" xfId="0" applyFont="1" applyFill="1" applyBorder="1"/>
    <xf numFmtId="0" fontId="3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43" fontId="27" fillId="0" borderId="0" xfId="0" applyNumberFormat="1" applyFont="1" applyFill="1" applyBorder="1" applyAlignment="1">
      <alignment vertical="center" wrapText="1"/>
    </xf>
    <xf numFmtId="43" fontId="27" fillId="0" borderId="0" xfId="0" applyNumberFormat="1" applyFont="1" applyFill="1" applyBorder="1" applyAlignment="1">
      <alignment vertical="center"/>
    </xf>
    <xf numFmtId="0" fontId="10" fillId="6" borderId="20" xfId="0" applyFont="1" applyFill="1" applyBorder="1" applyAlignment="1">
      <alignment horizontal="center" vertical="distributed"/>
    </xf>
    <xf numFmtId="43" fontId="10" fillId="6" borderId="2" xfId="0" applyNumberFormat="1" applyFont="1" applyFill="1" applyBorder="1" applyAlignment="1">
      <alignment horizontal="center" vertical="center" wrapText="1"/>
    </xf>
    <xf numFmtId="43" fontId="10" fillId="6" borderId="5" xfId="0" applyNumberFormat="1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vertical="center"/>
    </xf>
    <xf numFmtId="43" fontId="8" fillId="0" borderId="4" xfId="0" applyNumberFormat="1" applyFont="1" applyFill="1" applyBorder="1"/>
    <xf numFmtId="181" fontId="8" fillId="0" borderId="6" xfId="0" applyNumberFormat="1" applyFont="1" applyFill="1" applyBorder="1"/>
    <xf numFmtId="0" fontId="10" fillId="6" borderId="3" xfId="0" applyFont="1" applyFill="1" applyBorder="1" applyAlignment="1">
      <alignment horizontal="left" vertical="center"/>
    </xf>
    <xf numFmtId="43" fontId="8" fillId="0" borderId="4" xfId="0" applyNumberFormat="1" applyFont="1" applyFill="1" applyBorder="1" applyAlignment="1">
      <alignment horizontal="center"/>
    </xf>
    <xf numFmtId="181" fontId="8" fillId="0" borderId="6" xfId="0" applyNumberFormat="1" applyFont="1" applyFill="1" applyBorder="1" applyAlignment="1">
      <alignment horizontal="center"/>
    </xf>
    <xf numFmtId="41" fontId="10" fillId="6" borderId="3" xfId="86" applyNumberFormat="1" applyFont="1" applyFill="1" applyBorder="1" applyAlignment="1">
      <alignment vertical="center"/>
    </xf>
    <xf numFmtId="181" fontId="6" fillId="0" borderId="6" xfId="0" applyNumberFormat="1" applyFont="1" applyFill="1" applyBorder="1" applyAlignment="1">
      <alignment horizontal="center" vertical="center"/>
    </xf>
    <xf numFmtId="43" fontId="27" fillId="0" borderId="4" xfId="0" applyNumberFormat="1" applyFont="1" applyFill="1" applyBorder="1" applyAlignment="1">
      <alignment horizontal="left"/>
    </xf>
    <xf numFmtId="41" fontId="10" fillId="6" borderId="43" xfId="86" applyNumberFormat="1" applyFont="1" applyFill="1" applyBorder="1" applyAlignment="1">
      <alignment vertical="center"/>
    </xf>
    <xf numFmtId="41" fontId="10" fillId="9" borderId="43" xfId="86" applyNumberFormat="1" applyFont="1" applyFill="1" applyBorder="1" applyAlignment="1">
      <alignment vertical="center"/>
    </xf>
    <xf numFmtId="43" fontId="27" fillId="9" borderId="26" xfId="0" applyNumberFormat="1" applyFont="1" applyFill="1" applyBorder="1" applyAlignment="1">
      <alignment horizontal="left"/>
    </xf>
    <xf numFmtId="181" fontId="8" fillId="6" borderId="37" xfId="0" applyNumberFormat="1" applyFont="1" applyFill="1" applyBorder="1"/>
    <xf numFmtId="0" fontId="10" fillId="6" borderId="15" xfId="0" applyFont="1" applyFill="1" applyBorder="1" applyAlignment="1">
      <alignment vertical="center"/>
    </xf>
    <xf numFmtId="10" fontId="27" fillId="0" borderId="17" xfId="0" applyNumberFormat="1" applyFont="1" applyFill="1" applyBorder="1" applyAlignment="1">
      <alignment horizontal="right"/>
    </xf>
    <xf numFmtId="181" fontId="8" fillId="0" borderId="19" xfId="0" applyNumberFormat="1" applyFont="1" applyFill="1" applyBorder="1"/>
    <xf numFmtId="0" fontId="10" fillId="0" borderId="0" xfId="0" applyFont="1" applyFill="1" applyBorder="1" applyAlignment="1">
      <alignment horizontal="left"/>
    </xf>
    <xf numFmtId="43" fontId="27" fillId="0" borderId="0" xfId="0" applyNumberFormat="1" applyFont="1" applyFill="1" applyBorder="1"/>
    <xf numFmtId="43" fontId="10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1" fontId="8" fillId="0" borderId="0" xfId="0" applyNumberFormat="1" applyFont="1" applyFill="1" applyBorder="1" applyAlignment="1"/>
    <xf numFmtId="181" fontId="8" fillId="0" borderId="7" xfId="0" applyNumberFormat="1" applyFont="1" applyFill="1" applyBorder="1" applyAlignment="1"/>
    <xf numFmtId="0" fontId="34" fillId="0" borderId="9" xfId="0" applyFont="1" applyFill="1" applyBorder="1" applyAlignment="1">
      <alignment horizontal="center"/>
    </xf>
    <xf numFmtId="0" fontId="34" fillId="0" borderId="8" xfId="0" applyFont="1" applyFill="1" applyBorder="1" applyAlignment="1">
      <alignment horizontal="center"/>
    </xf>
    <xf numFmtId="0" fontId="34" fillId="0" borderId="53" xfId="0" applyFont="1" applyFill="1" applyBorder="1" applyAlignment="1">
      <alignment horizontal="center"/>
    </xf>
    <xf numFmtId="0" fontId="10" fillId="0" borderId="50" xfId="0" applyFont="1" applyFill="1" applyBorder="1" applyAlignment="1">
      <alignment vertical="center"/>
    </xf>
    <xf numFmtId="181" fontId="27" fillId="0" borderId="0" xfId="0" applyNumberFormat="1" applyFont="1" applyFill="1" applyBorder="1" applyAlignment="1">
      <alignment vertical="center" wrapText="1"/>
    </xf>
    <xf numFmtId="43" fontId="10" fillId="0" borderId="54" xfId="0" applyNumberFormat="1" applyFont="1" applyFill="1" applyBorder="1" applyAlignment="1">
      <alignment horizontal="right" vertical="center"/>
    </xf>
    <xf numFmtId="0" fontId="10" fillId="10" borderId="33" xfId="0" applyFont="1" applyFill="1" applyBorder="1" applyAlignment="1">
      <alignment horizontal="center" vertical="distributed"/>
    </xf>
    <xf numFmtId="181" fontId="10" fillId="10" borderId="23" xfId="0" applyNumberFormat="1" applyFont="1" applyFill="1" applyBorder="1" applyAlignment="1">
      <alignment horizontal="center" vertical="center" wrapText="1"/>
    </xf>
    <xf numFmtId="181" fontId="10" fillId="10" borderId="41" xfId="0" applyNumberFormat="1" applyFont="1" applyFill="1" applyBorder="1" applyAlignment="1">
      <alignment horizontal="center" vertical="center" wrapText="1"/>
    </xf>
    <xf numFmtId="43" fontId="10" fillId="10" borderId="18" xfId="0" applyNumberFormat="1" applyFont="1" applyFill="1" applyBorder="1" applyAlignment="1">
      <alignment horizontal="center" vertical="center" wrapText="1"/>
    </xf>
    <xf numFmtId="0" fontId="10" fillId="10" borderId="43" xfId="0" applyFont="1" applyFill="1" applyBorder="1" applyAlignment="1">
      <alignment vertical="center" wrapText="1"/>
    </xf>
    <xf numFmtId="181" fontId="8" fillId="0" borderId="4" xfId="0" applyNumberFormat="1" applyFont="1" applyFill="1" applyBorder="1" applyAlignment="1">
      <alignment vertical="center" wrapText="1"/>
    </xf>
    <xf numFmtId="181" fontId="8" fillId="0" borderId="30" xfId="0" applyNumberFormat="1" applyFont="1" applyFill="1" applyBorder="1" applyAlignment="1">
      <alignment vertical="center" wrapText="1"/>
    </xf>
    <xf numFmtId="181" fontId="8" fillId="0" borderId="6" xfId="0" applyNumberFormat="1" applyFont="1" applyFill="1" applyBorder="1" applyAlignment="1">
      <alignment vertical="center" wrapText="1"/>
    </xf>
    <xf numFmtId="0" fontId="10" fillId="10" borderId="3" xfId="0" applyFont="1" applyFill="1" applyBorder="1" applyAlignment="1">
      <alignment horizontal="left" vertical="center" wrapText="1"/>
    </xf>
    <xf numFmtId="181" fontId="30" fillId="0" borderId="6" xfId="0" applyNumberFormat="1" applyFont="1" applyFill="1" applyBorder="1" applyAlignment="1">
      <alignment horizontal="left" vertical="center" wrapText="1"/>
    </xf>
    <xf numFmtId="0" fontId="10" fillId="10" borderId="43" xfId="0" applyFont="1" applyFill="1" applyBorder="1" applyAlignment="1">
      <alignment horizontal="left" vertical="center" wrapText="1"/>
    </xf>
    <xf numFmtId="10" fontId="8" fillId="0" borderId="30" xfId="0" applyNumberFormat="1" applyFont="1" applyFill="1" applyBorder="1" applyAlignment="1">
      <alignment vertical="center" wrapText="1"/>
    </xf>
    <xf numFmtId="181" fontId="11" fillId="0" borderId="6" xfId="0" applyNumberFormat="1" applyFont="1" applyFill="1" applyBorder="1" applyAlignment="1">
      <alignment horizontal="left" vertical="center" wrapText="1"/>
    </xf>
    <xf numFmtId="181" fontId="27" fillId="0" borderId="4" xfId="0" applyNumberFormat="1" applyFont="1" applyFill="1" applyBorder="1" applyAlignment="1">
      <alignment vertical="center" wrapText="1"/>
    </xf>
    <xf numFmtId="181" fontId="11" fillId="0" borderId="6" xfId="0" applyNumberFormat="1" applyFont="1" applyFill="1" applyBorder="1" applyAlignment="1">
      <alignment vertical="center" wrapText="1"/>
    </xf>
    <xf numFmtId="181" fontId="30" fillId="0" borderId="6" xfId="0" applyNumberFormat="1" applyFont="1" applyFill="1" applyBorder="1" applyAlignment="1">
      <alignment vertical="center" wrapText="1"/>
    </xf>
    <xf numFmtId="9" fontId="27" fillId="0" borderId="4" xfId="0" applyNumberFormat="1" applyFont="1" applyFill="1" applyBorder="1" applyAlignment="1">
      <alignment vertical="center" wrapText="1"/>
    </xf>
    <xf numFmtId="181" fontId="27" fillId="7" borderId="4" xfId="0" applyNumberFormat="1" applyFont="1" applyFill="1" applyBorder="1" applyAlignment="1">
      <alignment vertical="center" wrapText="1"/>
    </xf>
    <xf numFmtId="181" fontId="30" fillId="7" borderId="6" xfId="0" applyNumberFormat="1" applyFont="1" applyFill="1" applyBorder="1" applyAlignment="1">
      <alignment vertical="center" wrapText="1"/>
    </xf>
    <xf numFmtId="41" fontId="10" fillId="10" borderId="43" xfId="86" applyNumberFormat="1" applyFont="1" applyFill="1" applyBorder="1" applyAlignment="1">
      <alignment vertical="center" wrapText="1"/>
    </xf>
    <xf numFmtId="181" fontId="27" fillId="9" borderId="26" xfId="0" applyNumberFormat="1" applyFont="1" applyFill="1" applyBorder="1" applyAlignment="1">
      <alignment vertical="center" wrapText="1"/>
    </xf>
    <xf numFmtId="181" fontId="30" fillId="6" borderId="37" xfId="0" applyNumberFormat="1" applyFont="1" applyFill="1" applyBorder="1" applyAlignment="1">
      <alignment vertical="center" wrapText="1"/>
    </xf>
    <xf numFmtId="0" fontId="10" fillId="10" borderId="15" xfId="0" applyFont="1" applyFill="1" applyBorder="1" applyAlignment="1">
      <alignment vertical="center" wrapText="1"/>
    </xf>
    <xf numFmtId="181" fontId="27" fillId="0" borderId="17" xfId="0" applyNumberFormat="1" applyFont="1" applyFill="1" applyBorder="1" applyAlignment="1">
      <alignment vertical="center" wrapText="1"/>
    </xf>
    <xf numFmtId="10" fontId="8" fillId="0" borderId="39" xfId="0" applyNumberFormat="1" applyFont="1" applyFill="1" applyBorder="1" applyAlignment="1">
      <alignment vertical="center" wrapText="1"/>
    </xf>
    <xf numFmtId="181" fontId="30" fillId="0" borderId="19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/>
    </xf>
    <xf numFmtId="181" fontId="27" fillId="0" borderId="0" xfId="0" applyNumberFormat="1" applyFont="1" applyFill="1" applyBorder="1" applyAlignment="1"/>
    <xf numFmtId="0" fontId="35" fillId="0" borderId="0" xfId="37" applyAlignment="1">
      <alignment horizontal="center" vertical="center"/>
    </xf>
    <xf numFmtId="49" fontId="35" fillId="0" borderId="0" xfId="37" applyNumberFormat="1">
      <alignment vertical="center"/>
    </xf>
    <xf numFmtId="0" fontId="35" fillId="0" borderId="0" xfId="37">
      <alignment vertical="center"/>
    </xf>
    <xf numFmtId="49" fontId="36" fillId="0" borderId="0" xfId="37" applyNumberFormat="1" applyFont="1">
      <alignment vertical="center"/>
    </xf>
    <xf numFmtId="49" fontId="37" fillId="0" borderId="30" xfId="37" applyNumberFormat="1" applyFont="1" applyBorder="1" applyAlignment="1">
      <alignment horizontal="center" vertical="center"/>
    </xf>
    <xf numFmtId="49" fontId="37" fillId="0" borderId="44" xfId="37" applyNumberFormat="1" applyFont="1" applyBorder="1" applyAlignment="1">
      <alignment horizontal="center" vertical="center"/>
    </xf>
    <xf numFmtId="0" fontId="37" fillId="0" borderId="4" xfId="37" applyFont="1" applyBorder="1" applyAlignment="1">
      <alignment horizontal="center" vertical="center"/>
    </xf>
    <xf numFmtId="0" fontId="37" fillId="0" borderId="45" xfId="37" applyFont="1" applyBorder="1" applyAlignment="1">
      <alignment horizontal="center" vertical="center"/>
    </xf>
    <xf numFmtId="0" fontId="37" fillId="0" borderId="30" xfId="37" applyFont="1" applyBorder="1" applyAlignment="1">
      <alignment horizontal="center" vertical="center"/>
    </xf>
    <xf numFmtId="49" fontId="37" fillId="0" borderId="55" xfId="37" applyNumberFormat="1" applyFont="1" applyBorder="1">
      <alignment vertical="center"/>
    </xf>
    <xf numFmtId="49" fontId="37" fillId="0" borderId="56" xfId="37" applyNumberFormat="1" applyFont="1" applyBorder="1">
      <alignment vertical="center"/>
    </xf>
    <xf numFmtId="0" fontId="37" fillId="0" borderId="57" xfId="37" applyFont="1" applyBorder="1">
      <alignment vertical="center"/>
    </xf>
    <xf numFmtId="0" fontId="37" fillId="0" borderId="57" xfId="37" applyFont="1" applyBorder="1" applyAlignment="1">
      <alignment horizontal="center" vertical="center"/>
    </xf>
    <xf numFmtId="49" fontId="37" fillId="0" borderId="58" xfId="37" applyNumberFormat="1" applyFont="1" applyBorder="1">
      <alignment vertical="center"/>
    </xf>
    <xf numFmtId="49" fontId="37" fillId="11" borderId="59" xfId="37" applyNumberFormat="1" applyFont="1" applyFill="1" applyBorder="1">
      <alignment vertical="center"/>
    </xf>
    <xf numFmtId="0" fontId="37" fillId="11" borderId="60" xfId="37" applyFont="1" applyFill="1" applyBorder="1">
      <alignment vertical="center"/>
    </xf>
    <xf numFmtId="0" fontId="37" fillId="11" borderId="60" xfId="37" applyFont="1" applyFill="1" applyBorder="1" applyAlignment="1">
      <alignment horizontal="center" vertical="center"/>
    </xf>
    <xf numFmtId="49" fontId="37" fillId="11" borderId="59" xfId="37" applyNumberFormat="1" applyFont="1" applyFill="1" applyBorder="1" applyAlignment="1">
      <alignment horizontal="center" vertical="center"/>
    </xf>
    <xf numFmtId="0" fontId="37" fillId="11" borderId="60" xfId="37" applyFont="1" applyFill="1" applyBorder="1" applyAlignment="1">
      <alignment vertical="center"/>
    </xf>
    <xf numFmtId="0" fontId="37" fillId="11" borderId="61" xfId="37" applyFont="1" applyFill="1" applyBorder="1" applyAlignment="1">
      <alignment horizontal="center" vertical="center"/>
    </xf>
    <xf numFmtId="0" fontId="37" fillId="11" borderId="57" xfId="37" applyFont="1" applyFill="1" applyBorder="1" applyAlignment="1">
      <alignment horizontal="center" vertical="center"/>
    </xf>
    <xf numFmtId="49" fontId="37" fillId="3" borderId="59" xfId="37" applyNumberFormat="1" applyFont="1" applyFill="1" applyBorder="1" applyAlignment="1">
      <alignment horizontal="center" vertical="center"/>
    </xf>
    <xf numFmtId="0" fontId="37" fillId="3" borderId="60" xfId="37" applyFont="1" applyFill="1" applyBorder="1">
      <alignment vertical="center"/>
    </xf>
    <xf numFmtId="0" fontId="37" fillId="3" borderId="60" xfId="37" applyFont="1" applyFill="1" applyBorder="1" applyAlignment="1">
      <alignment horizontal="center" vertical="center"/>
    </xf>
    <xf numFmtId="0" fontId="37" fillId="3" borderId="61" xfId="37" applyFont="1" applyFill="1" applyBorder="1" applyAlignment="1">
      <alignment horizontal="center" vertical="center"/>
    </xf>
    <xf numFmtId="0" fontId="37" fillId="3" borderId="62" xfId="37" applyFont="1" applyFill="1" applyBorder="1" applyAlignment="1">
      <alignment horizontal="center" vertical="center"/>
    </xf>
    <xf numFmtId="0" fontId="37" fillId="3" borderId="57" xfId="37" applyFont="1" applyFill="1" applyBorder="1" applyAlignment="1">
      <alignment horizontal="center" vertical="center"/>
    </xf>
    <xf numFmtId="49" fontId="37" fillId="0" borderId="59" xfId="37" applyNumberFormat="1" applyFont="1" applyBorder="1">
      <alignment vertical="center"/>
    </xf>
    <xf numFmtId="0" fontId="37" fillId="0" borderId="60" xfId="37" applyFont="1" applyBorder="1">
      <alignment vertical="center"/>
    </xf>
    <xf numFmtId="0" fontId="37" fillId="0" borderId="60" xfId="37" applyFont="1" applyBorder="1" applyAlignment="1">
      <alignment horizontal="center" vertical="center"/>
    </xf>
    <xf numFmtId="49" fontId="37" fillId="0" borderId="63" xfId="37" applyNumberFormat="1" applyFont="1" applyBorder="1">
      <alignment vertical="center"/>
    </xf>
    <xf numFmtId="49" fontId="37" fillId="0" borderId="64" xfId="37" applyNumberFormat="1" applyFont="1" applyBorder="1">
      <alignment vertical="center"/>
    </xf>
    <xf numFmtId="0" fontId="37" fillId="0" borderId="65" xfId="37" applyFont="1" applyBorder="1">
      <alignment vertical="center"/>
    </xf>
    <xf numFmtId="0" fontId="37" fillId="0" borderId="65" xfId="37" applyFont="1" applyBorder="1" applyAlignment="1">
      <alignment horizontal="center" vertical="center"/>
    </xf>
    <xf numFmtId="0" fontId="37" fillId="0" borderId="66" xfId="37" applyFont="1" applyBorder="1">
      <alignment vertical="center"/>
    </xf>
    <xf numFmtId="0" fontId="35" fillId="0" borderId="67" xfId="37" applyBorder="1">
      <alignment vertical="center"/>
    </xf>
    <xf numFmtId="0" fontId="37" fillId="11" borderId="68" xfId="37" applyFont="1" applyFill="1" applyBorder="1">
      <alignment vertical="center"/>
    </xf>
    <xf numFmtId="0" fontId="37" fillId="3" borderId="68" xfId="37" applyFont="1" applyFill="1" applyBorder="1">
      <alignment vertical="center"/>
    </xf>
    <xf numFmtId="0" fontId="37" fillId="0" borderId="68" xfId="37" applyFont="1" applyBorder="1">
      <alignment vertical="center"/>
    </xf>
    <xf numFmtId="0" fontId="37" fillId="0" borderId="69" xfId="37" applyFont="1" applyBorder="1">
      <alignment vertical="center"/>
    </xf>
    <xf numFmtId="0" fontId="38" fillId="0" borderId="8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37" fillId="2" borderId="4" xfId="37" applyFont="1" applyFill="1" applyBorder="1" applyAlignment="1">
      <alignment horizontal="center" vertical="center"/>
    </xf>
    <xf numFmtId="0" fontId="37" fillId="2" borderId="26" xfId="37" applyFont="1" applyFill="1" applyBorder="1" applyAlignment="1">
      <alignment horizontal="center" vertical="center"/>
    </xf>
    <xf numFmtId="0" fontId="37" fillId="3" borderId="4" xfId="37" applyFont="1" applyFill="1" applyBorder="1" applyAlignment="1">
      <alignment horizontal="center" vertical="center"/>
    </xf>
    <xf numFmtId="176" fontId="39" fillId="0" borderId="4" xfId="37" applyNumberFormat="1" applyFont="1" applyBorder="1" applyAlignment="1">
      <alignment horizontal="right" vertical="center"/>
    </xf>
    <xf numFmtId="0" fontId="37" fillId="2" borderId="70" xfId="37" applyFont="1" applyFill="1" applyBorder="1" applyAlignment="1">
      <alignment horizontal="center" vertical="center"/>
    </xf>
    <xf numFmtId="0" fontId="37" fillId="11" borderId="4" xfId="37" applyFont="1" applyFill="1" applyBorder="1" applyAlignment="1">
      <alignment horizontal="center" vertical="center" wrapText="1"/>
    </xf>
    <xf numFmtId="0" fontId="37" fillId="11" borderId="4" xfId="37" applyFont="1" applyFill="1" applyBorder="1" applyAlignment="1">
      <alignment horizontal="center" vertical="center"/>
    </xf>
    <xf numFmtId="0" fontId="37" fillId="0" borderId="4" xfId="37" applyFont="1" applyBorder="1" applyAlignment="1">
      <alignment vertical="center" wrapText="1"/>
    </xf>
    <xf numFmtId="0" fontId="37" fillId="0" borderId="30" xfId="37" applyFont="1" applyBorder="1" applyAlignment="1">
      <alignment vertical="center"/>
    </xf>
    <xf numFmtId="0" fontId="37" fillId="0" borderId="45" xfId="37" applyFont="1" applyBorder="1" applyAlignment="1">
      <alignment vertical="center"/>
    </xf>
    <xf numFmtId="0" fontId="37" fillId="3" borderId="4" xfId="37" applyFont="1" applyFill="1" applyBorder="1" applyAlignment="1">
      <alignment horizontal="center" vertical="center" wrapText="1"/>
    </xf>
    <xf numFmtId="0" fontId="37" fillId="2" borderId="14" xfId="37" applyFont="1" applyFill="1" applyBorder="1" applyAlignment="1">
      <alignment horizontal="center" vertical="center"/>
    </xf>
    <xf numFmtId="0" fontId="40" fillId="2" borderId="4" xfId="37" applyFont="1" applyFill="1" applyBorder="1" applyAlignment="1">
      <alignment horizontal="center" vertical="center"/>
    </xf>
    <xf numFmtId="0" fontId="40" fillId="0" borderId="4" xfId="37" applyFont="1" applyBorder="1" applyAlignment="1">
      <alignment horizontal="center" vertical="center"/>
    </xf>
    <xf numFmtId="0" fontId="40" fillId="0" borderId="4" xfId="37" applyFont="1" applyBorder="1">
      <alignment vertical="center"/>
    </xf>
    <xf numFmtId="176" fontId="41" fillId="0" borderId="4" xfId="37" applyNumberFormat="1" applyFont="1" applyBorder="1" applyAlignment="1">
      <alignment horizontal="right" vertical="center"/>
    </xf>
    <xf numFmtId="0" fontId="37" fillId="11" borderId="26" xfId="37" applyFont="1" applyFill="1" applyBorder="1" applyAlignment="1">
      <alignment horizontal="center" vertical="center" wrapText="1"/>
    </xf>
    <xf numFmtId="0" fontId="37" fillId="11" borderId="70" xfId="37" applyFont="1" applyFill="1" applyBorder="1" applyAlignment="1">
      <alignment horizontal="center" vertical="center"/>
    </xf>
    <xf numFmtId="176" fontId="39" fillId="0" borderId="4" xfId="37" applyNumberFormat="1" applyFont="1" applyFill="1" applyBorder="1" applyAlignment="1">
      <alignment horizontal="right" vertical="center"/>
    </xf>
    <xf numFmtId="0" fontId="37" fillId="11" borderId="14" xfId="37" applyFont="1" applyFill="1" applyBorder="1" applyAlignment="1">
      <alignment horizontal="center" vertical="center"/>
    </xf>
    <xf numFmtId="0" fontId="37" fillId="2" borderId="26" xfId="37" applyFont="1" applyFill="1" applyBorder="1" applyAlignment="1">
      <alignment horizontal="center" vertical="center" wrapText="1"/>
    </xf>
    <xf numFmtId="0" fontId="40" fillId="0" borderId="30" xfId="37" applyFont="1" applyBorder="1" applyAlignment="1">
      <alignment horizontal="center" vertical="center"/>
    </xf>
    <xf numFmtId="0" fontId="40" fillId="0" borderId="45" xfId="37" applyFont="1" applyBorder="1" applyAlignment="1">
      <alignment horizontal="center" vertical="center"/>
    </xf>
    <xf numFmtId="0" fontId="40" fillId="0" borderId="44" xfId="37" applyFont="1" applyBorder="1" applyAlignment="1">
      <alignment horizontal="center" vertical="center"/>
    </xf>
    <xf numFmtId="0" fontId="35" fillId="0" borderId="0" xfId="37" applyBorder="1">
      <alignment vertical="center"/>
    </xf>
    <xf numFmtId="0" fontId="35" fillId="0" borderId="0" xfId="37" applyBorder="1" applyAlignment="1">
      <alignment horizontal="center" vertical="center"/>
    </xf>
    <xf numFmtId="0" fontId="35" fillId="0" borderId="0" xfId="37" applyFont="1" applyBorder="1">
      <alignment vertical="center"/>
    </xf>
    <xf numFmtId="183" fontId="35" fillId="0" borderId="0" xfId="37" applyNumberFormat="1" applyBorder="1">
      <alignment vertical="center"/>
    </xf>
    <xf numFmtId="43" fontId="10" fillId="0" borderId="0" xfId="0" applyNumberFormat="1" applyFont="1" applyFill="1" applyBorder="1" applyAlignment="1">
      <alignment horizontal="right"/>
    </xf>
    <xf numFmtId="0" fontId="37" fillId="0" borderId="44" xfId="37" applyFont="1" applyBorder="1" applyAlignment="1">
      <alignment horizontal="center" vertical="center"/>
    </xf>
    <xf numFmtId="0" fontId="37" fillId="0" borderId="44" xfId="37" applyFont="1" applyBorder="1" applyAlignment="1">
      <alignment vertical="center"/>
    </xf>
    <xf numFmtId="184" fontId="0" fillId="0" borderId="0" xfId="179" applyNumberFormat="1" applyFont="1">
      <alignment vertical="center"/>
    </xf>
    <xf numFmtId="0" fontId="7" fillId="0" borderId="7" xfId="0" applyFont="1" applyFill="1" applyBorder="1" applyAlignment="1">
      <alignment horizontal="center"/>
    </xf>
    <xf numFmtId="0" fontId="42" fillId="6" borderId="0" xfId="37" applyFont="1" applyFill="1">
      <alignment vertical="center"/>
    </xf>
    <xf numFmtId="0" fontId="39" fillId="0" borderId="0" xfId="37" applyFont="1" applyAlignment="1">
      <alignment horizontal="right"/>
    </xf>
    <xf numFmtId="0" fontId="37" fillId="2" borderId="1" xfId="37" applyFont="1" applyFill="1" applyBorder="1" applyAlignment="1">
      <alignment horizontal="center" vertical="center"/>
    </xf>
    <xf numFmtId="0" fontId="37" fillId="0" borderId="23" xfId="37" applyFont="1" applyBorder="1">
      <alignment vertical="center"/>
    </xf>
    <xf numFmtId="0" fontId="37" fillId="0" borderId="5" xfId="37" applyFont="1" applyBorder="1" applyAlignment="1">
      <alignment horizontal="center" vertical="center"/>
    </xf>
    <xf numFmtId="0" fontId="37" fillId="0" borderId="3" xfId="37" applyFont="1" applyBorder="1" applyAlignment="1">
      <alignment horizontal="right" vertical="center"/>
    </xf>
    <xf numFmtId="1" fontId="37" fillId="0" borderId="30" xfId="37" applyNumberFormat="1" applyFont="1" applyBorder="1">
      <alignment vertical="center"/>
    </xf>
    <xf numFmtId="0" fontId="37" fillId="0" borderId="6" xfId="37" applyFont="1" applyBorder="1" applyAlignment="1">
      <alignment horizontal="center" vertical="center"/>
    </xf>
    <xf numFmtId="176" fontId="35" fillId="0" borderId="0" xfId="37" applyNumberFormat="1" applyBorder="1" applyAlignment="1">
      <alignment horizontal="right" vertical="center"/>
    </xf>
    <xf numFmtId="0" fontId="37" fillId="2" borderId="3" xfId="37" applyFont="1" applyFill="1" applyBorder="1" applyAlignment="1">
      <alignment horizontal="center" vertical="center"/>
    </xf>
    <xf numFmtId="0" fontId="37" fillId="2" borderId="36" xfId="37" applyFont="1" applyFill="1" applyBorder="1" applyAlignment="1">
      <alignment horizontal="center" vertical="center"/>
    </xf>
    <xf numFmtId="1" fontId="37" fillId="0" borderId="39" xfId="37" applyNumberFormat="1" applyFont="1" applyBorder="1">
      <alignment vertical="center"/>
    </xf>
    <xf numFmtId="0" fontId="37" fillId="0" borderId="19" xfId="37" applyFont="1" applyBorder="1" applyAlignment="1">
      <alignment horizontal="center" vertical="center"/>
    </xf>
    <xf numFmtId="0" fontId="42" fillId="0" borderId="0" xfId="37" applyFont="1">
      <alignment vertical="center"/>
    </xf>
    <xf numFmtId="0" fontId="37" fillId="0" borderId="0" xfId="37" applyFont="1">
      <alignment vertical="center"/>
    </xf>
    <xf numFmtId="184" fontId="2" fillId="0" borderId="0" xfId="179" applyNumberFormat="1" applyFont="1">
      <alignment vertical="center"/>
    </xf>
    <xf numFmtId="0" fontId="37" fillId="3" borderId="1" xfId="37" applyFont="1" applyFill="1" applyBorder="1" applyAlignment="1">
      <alignment horizontal="center" vertical="center"/>
    </xf>
    <xf numFmtId="0" fontId="40" fillId="3" borderId="2" xfId="37" applyFont="1" applyFill="1" applyBorder="1" applyAlignment="1">
      <alignment horizontal="center" vertical="center"/>
    </xf>
    <xf numFmtId="184" fontId="43" fillId="3" borderId="2" xfId="179" applyNumberFormat="1" applyFont="1" applyFill="1" applyBorder="1" applyAlignment="1">
      <alignment horizontal="center" vertical="center"/>
    </xf>
    <xf numFmtId="184" fontId="43" fillId="3" borderId="5" xfId="179" applyNumberFormat="1" applyFont="1" applyFill="1" applyBorder="1" applyAlignment="1">
      <alignment horizontal="center" vertical="center"/>
    </xf>
    <xf numFmtId="0" fontId="40" fillId="2" borderId="3" xfId="37" applyFont="1" applyFill="1" applyBorder="1" applyAlignment="1">
      <alignment horizontal="center" vertical="center"/>
    </xf>
    <xf numFmtId="0" fontId="37" fillId="0" borderId="4" xfId="37" applyFont="1" applyBorder="1">
      <alignment vertical="center"/>
    </xf>
    <xf numFmtId="184" fontId="2" fillId="0" borderId="4" xfId="179" applyNumberFormat="1" applyFont="1" applyBorder="1">
      <alignment vertical="center"/>
    </xf>
    <xf numFmtId="184" fontId="2" fillId="0" borderId="6" xfId="179" applyNumberFormat="1" applyFont="1" applyBorder="1">
      <alignment vertical="center"/>
    </xf>
    <xf numFmtId="185" fontId="40" fillId="0" borderId="4" xfId="37" applyNumberFormat="1" applyFont="1" applyBorder="1">
      <alignment vertical="center"/>
    </xf>
    <xf numFmtId="184" fontId="43" fillId="0" borderId="4" xfId="179" applyNumberFormat="1" applyFont="1" applyBorder="1">
      <alignment vertical="center"/>
    </xf>
    <xf numFmtId="184" fontId="43" fillId="0" borderId="6" xfId="179" applyNumberFormat="1" applyFont="1" applyBorder="1">
      <alignment vertical="center"/>
    </xf>
    <xf numFmtId="0" fontId="40" fillId="11" borderId="3" xfId="37" applyFont="1" applyFill="1" applyBorder="1" applyAlignment="1">
      <alignment horizontal="center" vertical="center"/>
    </xf>
    <xf numFmtId="0" fontId="40" fillId="11" borderId="36" xfId="37" applyFont="1" applyFill="1" applyBorder="1" applyAlignment="1">
      <alignment horizontal="center" vertical="center"/>
    </xf>
    <xf numFmtId="0" fontId="40" fillId="0" borderId="17" xfId="37" applyFont="1" applyBorder="1" applyAlignment="1">
      <alignment horizontal="center" vertical="center"/>
    </xf>
    <xf numFmtId="0" fontId="40" fillId="0" borderId="17" xfId="37" applyFont="1" applyBorder="1">
      <alignment vertical="center"/>
    </xf>
    <xf numFmtId="185" fontId="40" fillId="0" borderId="17" xfId="37" applyNumberFormat="1" applyFont="1" applyBorder="1">
      <alignment vertical="center"/>
    </xf>
    <xf numFmtId="184" fontId="43" fillId="0" borderId="17" xfId="179" applyNumberFormat="1" applyFont="1" applyBorder="1">
      <alignment vertical="center"/>
    </xf>
    <xf numFmtId="184" fontId="43" fillId="0" borderId="19" xfId="179" applyNumberFormat="1" applyFont="1" applyBorder="1">
      <alignment vertical="center"/>
    </xf>
    <xf numFmtId="43" fontId="35" fillId="0" borderId="0" xfId="37" applyNumberFormat="1">
      <alignment vertical="center"/>
    </xf>
    <xf numFmtId="0" fontId="40" fillId="0" borderId="4" xfId="37" applyFont="1" applyFill="1" applyBorder="1" applyAlignment="1">
      <alignment horizontal="center" vertical="center"/>
    </xf>
    <xf numFmtId="0" fontId="40" fillId="0" borderId="4" xfId="37" applyFont="1" applyFill="1" applyBorder="1">
      <alignment vertical="center"/>
    </xf>
    <xf numFmtId="185" fontId="40" fillId="0" borderId="4" xfId="37" applyNumberFormat="1" applyFont="1" applyFill="1" applyBorder="1">
      <alignment vertical="center"/>
    </xf>
    <xf numFmtId="184" fontId="43" fillId="0" borderId="4" xfId="179" applyNumberFormat="1" applyFont="1" applyFill="1" applyBorder="1">
      <alignment vertical="center"/>
    </xf>
    <xf numFmtId="184" fontId="43" fillId="0" borderId="6" xfId="179" applyNumberFormat="1" applyFont="1" applyFill="1" applyBorder="1">
      <alignment vertical="center"/>
    </xf>
    <xf numFmtId="0" fontId="40" fillId="0" borderId="17" xfId="37" applyFont="1" applyFill="1" applyBorder="1" applyAlignment="1">
      <alignment horizontal="center" vertical="center"/>
    </xf>
    <xf numFmtId="0" fontId="40" fillId="0" borderId="17" xfId="37" applyFont="1" applyFill="1" applyBorder="1">
      <alignment vertical="center"/>
    </xf>
    <xf numFmtId="185" fontId="40" fillId="0" borderId="17" xfId="37" applyNumberFormat="1" applyFont="1" applyFill="1" applyBorder="1">
      <alignment vertical="center"/>
    </xf>
    <xf numFmtId="184" fontId="43" fillId="0" borderId="17" xfId="179" applyNumberFormat="1" applyFont="1" applyFill="1" applyBorder="1">
      <alignment vertical="center"/>
    </xf>
    <xf numFmtId="184" fontId="43" fillId="0" borderId="19" xfId="179" applyNumberFormat="1" applyFont="1" applyFill="1" applyBorder="1">
      <alignment vertical="center"/>
    </xf>
    <xf numFmtId="0" fontId="37" fillId="0" borderId="2" xfId="37" applyFont="1" applyBorder="1" applyAlignment="1">
      <alignment horizontal="center" vertical="center"/>
    </xf>
    <xf numFmtId="0" fontId="37" fillId="3" borderId="3" xfId="37" applyFont="1" applyFill="1" applyBorder="1" applyAlignment="1">
      <alignment horizontal="center" vertical="center"/>
    </xf>
    <xf numFmtId="184" fontId="43" fillId="0" borderId="4" xfId="179" applyNumberFormat="1" applyFont="1" applyFill="1" applyBorder="1" applyAlignment="1">
      <alignment horizontal="center" vertical="center"/>
    </xf>
    <xf numFmtId="184" fontId="44" fillId="0" borderId="6" xfId="179" applyNumberFormat="1" applyFont="1" applyFill="1" applyBorder="1">
      <alignment vertical="center"/>
    </xf>
    <xf numFmtId="184" fontId="2" fillId="3" borderId="43" xfId="179" applyNumberFormat="1" applyFont="1" applyFill="1" applyBorder="1" applyAlignment="1">
      <alignment horizontal="center" vertical="center"/>
    </xf>
    <xf numFmtId="184" fontId="2" fillId="3" borderId="44" xfId="179" applyNumberFormat="1" applyFont="1" applyFill="1" applyBorder="1" applyAlignment="1">
      <alignment horizontal="center" vertical="center"/>
    </xf>
    <xf numFmtId="43" fontId="43" fillId="0" borderId="6" xfId="179" applyNumberFormat="1" applyFont="1" applyBorder="1">
      <alignment vertical="center"/>
    </xf>
    <xf numFmtId="184" fontId="2" fillId="3" borderId="15" xfId="179" applyNumberFormat="1" applyFont="1" applyFill="1" applyBorder="1" applyAlignment="1">
      <alignment horizontal="center" vertical="center"/>
    </xf>
    <xf numFmtId="184" fontId="2" fillId="3" borderId="16" xfId="179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5" fillId="0" borderId="8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10" borderId="71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0" fontId="6" fillId="10" borderId="35" xfId="0" applyFont="1" applyFill="1" applyBorder="1" applyAlignment="1">
      <alignment horizontal="center" vertical="center" textRotation="255" wrapText="1"/>
    </xf>
    <xf numFmtId="0" fontId="6" fillId="10" borderId="4" xfId="0" applyFont="1" applyFill="1" applyBorder="1" applyAlignment="1">
      <alignment horizontal="left" vertical="center" wrapText="1"/>
    </xf>
    <xf numFmtId="0" fontId="11" fillId="10" borderId="4" xfId="0" applyFont="1" applyFill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5" fillId="0" borderId="6" xfId="111" applyFont="1" applyBorder="1">
      <alignment vertical="center"/>
    </xf>
    <xf numFmtId="0" fontId="6" fillId="10" borderId="46" xfId="0" applyFont="1" applyFill="1" applyBorder="1" applyAlignment="1">
      <alignment horizontal="center" vertical="center" textRotation="255" wrapText="1"/>
    </xf>
    <xf numFmtId="0" fontId="6" fillId="10" borderId="26" xfId="0" applyFont="1" applyFill="1" applyBorder="1" applyAlignment="1">
      <alignment horizontal="center" vertical="center" wrapText="1"/>
    </xf>
    <xf numFmtId="0" fontId="35" fillId="0" borderId="6" xfId="81" applyFont="1" applyBorder="1">
      <alignment vertical="center"/>
    </xf>
    <xf numFmtId="0" fontId="6" fillId="10" borderId="70" xfId="0" applyFont="1" applyFill="1" applyBorder="1" applyAlignment="1">
      <alignment horizontal="center" vertical="center" wrapText="1"/>
    </xf>
    <xf numFmtId="0" fontId="6" fillId="10" borderId="1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44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10" borderId="34" xfId="0" applyFont="1" applyFill="1" applyBorder="1" applyAlignment="1">
      <alignment horizontal="center" vertical="center" textRotation="255" wrapText="1"/>
    </xf>
    <xf numFmtId="0" fontId="6" fillId="10" borderId="30" xfId="0" applyFont="1" applyFill="1" applyBorder="1" applyAlignment="1">
      <alignment horizontal="center" vertical="center" wrapText="1"/>
    </xf>
    <xf numFmtId="0" fontId="6" fillId="10" borderId="4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10" borderId="43" xfId="0" applyFont="1" applyFill="1" applyBorder="1" applyAlignment="1">
      <alignment horizontal="left" vertical="center" wrapText="1"/>
    </xf>
    <xf numFmtId="0" fontId="6" fillId="10" borderId="45" xfId="0" applyFont="1" applyFill="1" applyBorder="1" applyAlignment="1">
      <alignment horizontal="left" vertical="center" wrapText="1"/>
    </xf>
    <xf numFmtId="176" fontId="6" fillId="7" borderId="4" xfId="0" applyNumberFormat="1" applyFont="1" applyFill="1" applyBorder="1" applyAlignment="1">
      <alignment horizontal="center" vertical="center" wrapText="1"/>
    </xf>
    <xf numFmtId="0" fontId="6" fillId="10" borderId="43" xfId="0" applyFont="1" applyFill="1" applyBorder="1" applyAlignment="1">
      <alignment horizontal="center" vertical="center" wrapText="1"/>
    </xf>
    <xf numFmtId="0" fontId="6" fillId="10" borderId="45" xfId="0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6" fillId="10" borderId="72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200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 11 2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千位分隔 3 2" xfId="21"/>
    <cellStyle name="千位分隔 10" xfId="22"/>
    <cellStyle name="_ET_STYLE_NoName_00_" xfId="23"/>
    <cellStyle name="常规 5 2" xfId="24"/>
    <cellStyle name="标题" xfId="25" builtinId="15"/>
    <cellStyle name="常规 12" xfId="26"/>
    <cellStyle name="差_胡慧（酒店、车场调整）" xfId="27"/>
    <cellStyle name="解释性文本" xfId="28" builtinId="53"/>
    <cellStyle name="百分比 2 2" xfId="29"/>
    <cellStyle name="标题 1" xfId="30" builtinId="16"/>
    <cellStyle name="常规 5 2 2" xfId="31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常规 31" xfId="37"/>
    <cellStyle name="常规 26" xfId="38"/>
    <cellStyle name="计算" xfId="39" builtinId="22"/>
    <cellStyle name="差_物业11年经营计划-财务相关表单" xfId="40"/>
    <cellStyle name="检查单元格" xfId="41" builtinId="23"/>
    <cellStyle name="千位分隔 12 2" xfId="42"/>
    <cellStyle name="20% - 强调文字颜色 6" xfId="43" builtinId="50"/>
    <cellStyle name="千位分隔 6 3" xfId="44"/>
    <cellStyle name="强调文字颜色 2" xfId="45" builtinId="33"/>
    <cellStyle name="链接单元格" xfId="46" builtinId="24"/>
    <cellStyle name="差_实际与预算对比表6(1)" xfId="47"/>
    <cellStyle name="汇总" xfId="48" builtinId="25"/>
    <cellStyle name="好" xfId="49" builtinId="26"/>
    <cellStyle name="适中" xfId="50" builtinId="28"/>
    <cellStyle name="常规 8 2" xfId="51"/>
    <cellStyle name="20% - 强调文字颜色 5" xfId="52" builtinId="46"/>
    <cellStyle name="千位分隔 6 2" xfId="53"/>
    <cellStyle name="常规 2 2 2 4" xfId="54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千位分隔[0] 2" xfId="60"/>
    <cellStyle name="强调文字颜色 3" xfId="61" builtinId="37"/>
    <cellStyle name="差_胡慧" xfId="62"/>
    <cellStyle name="差_2011年物业费重测" xfId="63"/>
    <cellStyle name="千位分隔[0] 3" xfId="64"/>
    <cellStyle name="强调文字颜色 4" xfId="65" builtinId="41"/>
    <cellStyle name="20% - 强调文字颜色 4" xfId="66" builtinId="42"/>
    <cellStyle name="40% - 强调文字颜色 4" xfId="67" builtinId="43"/>
    <cellStyle name="千位分隔[0] 4" xfId="68"/>
    <cellStyle name="强调文字颜色 5" xfId="69" builtinId="45"/>
    <cellStyle name="40% - 强调文字颜色 5" xfId="70" builtinId="47"/>
    <cellStyle name="60% - 强调文字颜色 5" xfId="71" builtinId="48"/>
    <cellStyle name="强调文字颜色 6" xfId="72" builtinId="49"/>
    <cellStyle name="40% - 强调文字颜色 6" xfId="73" builtinId="51"/>
    <cellStyle name="60% - 强调文字颜色 6" xfId="74" builtinId="52"/>
    <cellStyle name="千位分隔 3" xfId="75"/>
    <cellStyle name="差_胡慧（物业11.9.23）修定" xfId="76"/>
    <cellStyle name=" 1" xfId="77"/>
    <cellStyle name="Normal_A300-2003_利润对比表09" xfId="78"/>
    <cellStyle name="百分比 3" xfId="79"/>
    <cellStyle name="差_电梯付款明11.9.23" xfId="80"/>
    <cellStyle name="常规 28" xfId="81"/>
    <cellStyle name="差_胡慧（酒店调整）" xfId="82"/>
    <cellStyle name="差_胡慧（物业11.9.23）" xfId="83"/>
    <cellStyle name="差_商业转入备用金收支明细" xfId="84"/>
    <cellStyle name="差_物业管理报表（1-8月调整）" xfId="85"/>
    <cellStyle name="常规_Sheet1" xfId="86"/>
    <cellStyle name="差_物业预算表（2011年）（后期调整）" xfId="87"/>
    <cellStyle name="差_张凯" xfId="88"/>
    <cellStyle name="常规 16 2" xfId="89"/>
    <cellStyle name="常规 10" xfId="90"/>
    <cellStyle name="常规 10 2" xfId="91"/>
    <cellStyle name="常规 11" xfId="92"/>
    <cellStyle name="常规 11 2" xfId="93"/>
    <cellStyle name="常规 12 2" xfId="94"/>
    <cellStyle name="常规 13" xfId="95"/>
    <cellStyle name="常规 13 2" xfId="96"/>
    <cellStyle name="常规 14" xfId="97"/>
    <cellStyle name="常规 14 2" xfId="98"/>
    <cellStyle name="常规 20" xfId="99"/>
    <cellStyle name="常规 15" xfId="100"/>
    <cellStyle name="常规 15 2" xfId="101"/>
    <cellStyle name="常规 15 2 2" xfId="102"/>
    <cellStyle name="常规 21" xfId="103"/>
    <cellStyle name="常规 16" xfId="104"/>
    <cellStyle name="常规 22" xfId="105"/>
    <cellStyle name="常规 17" xfId="106"/>
    <cellStyle name="常规 17 2" xfId="107"/>
    <cellStyle name="常规 23" xfId="108"/>
    <cellStyle name="常规 18" xfId="109"/>
    <cellStyle name="常规 18 2" xfId="110"/>
    <cellStyle name="常规 24" xfId="111"/>
    <cellStyle name="常规 19" xfId="112"/>
    <cellStyle name="常规 2" xfId="113"/>
    <cellStyle name="好_物业预算表（2011年）（后期调整）" xfId="114"/>
    <cellStyle name="常规 2 2" xfId="115"/>
    <cellStyle name="常规 2 2 2" xfId="116"/>
    <cellStyle name="常规 2 2 2 2" xfId="117"/>
    <cellStyle name="常规 2 2 2 2 2" xfId="118"/>
    <cellStyle name="常规 2 2 2 3" xfId="119"/>
    <cellStyle name="常规 2 2 2 3 2" xfId="120"/>
    <cellStyle name="常规 2 2 2_键入商业部分部门 2012年预算收入、损益总表7" xfId="121"/>
    <cellStyle name="常规 2 2 3" xfId="122"/>
    <cellStyle name="常规 2 2 3 2" xfId="123"/>
    <cellStyle name="常规 2 3" xfId="124"/>
    <cellStyle name="常规 2 3 2" xfId="125"/>
    <cellStyle name="常规 2 5" xfId="126"/>
    <cellStyle name="常规 2_3月报表附注" xfId="127"/>
    <cellStyle name="常规 30" xfId="128"/>
    <cellStyle name="常规 25" xfId="129"/>
    <cellStyle name="常规 27" xfId="130"/>
    <cellStyle name="常规 29" xfId="131"/>
    <cellStyle name="常规 3" xfId="132"/>
    <cellStyle name="常规 3 2" xfId="133"/>
    <cellStyle name="常规 4" xfId="134"/>
    <cellStyle name="常规 4 2" xfId="135"/>
    <cellStyle name="常规 4 2 2" xfId="136"/>
    <cellStyle name="常规 4 3" xfId="137"/>
    <cellStyle name="常规 5" xfId="138"/>
    <cellStyle name="好_胡慧（物业11.9.23）" xfId="139"/>
    <cellStyle name="好_电梯付款明11.9.23" xfId="140"/>
    <cellStyle name="常规 5_3月报表附注" xfId="141"/>
    <cellStyle name="常规 6 2" xfId="142"/>
    <cellStyle name="常规 6 2 2" xfId="143"/>
    <cellStyle name="千位分隔 3 2 2" xfId="144"/>
    <cellStyle name="常规 6 3" xfId="145"/>
    <cellStyle name="常规 7" xfId="146"/>
    <cellStyle name="常规 8" xfId="147"/>
    <cellStyle name="常规 9" xfId="148"/>
    <cellStyle name="好_2011年物业费重测" xfId="149"/>
    <cellStyle name="好_2012年预算总表(12.2.26)" xfId="150"/>
    <cellStyle name="好_2012年预算总表(不含车场、企划、商管2.2.26)" xfId="151"/>
    <cellStyle name="好_2012年预算总表(企划、商管划出12.2.26) (version 1)" xfId="152"/>
    <cellStyle name="好_2012年预算总表(企划、商管划出12.2.26含)" xfId="153"/>
    <cellStyle name="好_胡慧" xfId="154"/>
    <cellStyle name="好_胡慧（酒店、车场调整）" xfId="155"/>
    <cellStyle name="好_胡慧（酒店调整）" xfId="156"/>
    <cellStyle name="好_胡慧（物业11.9.23）修定" xfId="157"/>
    <cellStyle name="好_商业转入备用金收支明细" xfId="158"/>
    <cellStyle name="好_实际与预算对比表6(1)" xfId="159"/>
    <cellStyle name="好_物业11年经营计划-财务相关表单" xfId="160"/>
    <cellStyle name="好_物业管理报表（1-8月调整）" xfId="161"/>
    <cellStyle name="千位分隔 7 2" xfId="162"/>
    <cellStyle name="好_张凯" xfId="163"/>
    <cellStyle name="货币 2" xfId="164"/>
    <cellStyle name="货币 2 2" xfId="165"/>
    <cellStyle name="货币 3" xfId="166"/>
    <cellStyle name="货币 3 2" xfId="167"/>
    <cellStyle name="千位分隔 3 3" xfId="168"/>
    <cellStyle name="千位分隔 11" xfId="169"/>
    <cellStyle name="千位分隔 2 3 2" xfId="170"/>
    <cellStyle name="千位分隔 12" xfId="171"/>
    <cellStyle name="千位分隔 13" xfId="172"/>
    <cellStyle name="千位分隔 13 2" xfId="173"/>
    <cellStyle name="千位分隔 14" xfId="174"/>
    <cellStyle name="千位分隔 14 2" xfId="175"/>
    <cellStyle name="千位分隔 15" xfId="176"/>
    <cellStyle name="千位分隔 15 2" xfId="177"/>
    <cellStyle name="千位分隔 16" xfId="178"/>
    <cellStyle name="千位分隔 17" xfId="179"/>
    <cellStyle name="千位分隔 2" xfId="180"/>
    <cellStyle name="千位分隔 2 2" xfId="181"/>
    <cellStyle name="千位分隔 2 4" xfId="182"/>
    <cellStyle name="千位分隔 2 2 2" xfId="183"/>
    <cellStyle name="千位分隔 2 3" xfId="184"/>
    <cellStyle name="千位分隔 2 4 2" xfId="185"/>
    <cellStyle name="千位分隔 4" xfId="186"/>
    <cellStyle name="千位分隔 4 2" xfId="187"/>
    <cellStyle name="千位分隔 5" xfId="188"/>
    <cellStyle name="千位分隔 5 2" xfId="189"/>
    <cellStyle name="千位分隔 6" xfId="190"/>
    <cellStyle name="千位分隔 6 2 2" xfId="191"/>
    <cellStyle name="千位分隔 6_3月报表附注" xfId="192"/>
    <cellStyle name="千位分隔 7" xfId="193"/>
    <cellStyle name="千位分隔 8" xfId="194"/>
    <cellStyle name="千位分隔 9" xfId="195"/>
    <cellStyle name="千位分隔 9 2" xfId="196"/>
    <cellStyle name="千位分隔[0] 2 2" xfId="197"/>
    <cellStyle name="千位分隔[0] 4 2" xfId="198"/>
    <cellStyle name="样式 1" xfId="19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19050</xdr:rowOff>
    </xdr:from>
    <xdr:to>
      <xdr:col>1</xdr:col>
      <xdr:colOff>1857375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762000"/>
          <a:ext cx="2171700" cy="5905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28575</xdr:rowOff>
    </xdr:from>
    <xdr:to>
      <xdr:col>1</xdr:col>
      <xdr:colOff>676275</xdr:colOff>
      <xdr:row>4</xdr:row>
      <xdr:rowOff>381000</xdr:rowOff>
    </xdr:to>
    <xdr:cxnSp>
      <xdr:nvCxnSpPr>
        <xdr:cNvPr id="4" name="直接连接符 3"/>
        <xdr:cNvCxnSpPr/>
      </xdr:nvCxnSpPr>
      <xdr:spPr>
        <a:xfrm>
          <a:off x="19050" y="1104900"/>
          <a:ext cx="1343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3</xdr:row>
      <xdr:rowOff>28575</xdr:rowOff>
    </xdr:from>
    <xdr:to>
      <xdr:col>1</xdr:col>
      <xdr:colOff>676275</xdr:colOff>
      <xdr:row>4</xdr:row>
      <xdr:rowOff>381000</xdr:rowOff>
    </xdr:to>
    <xdr:cxnSp>
      <xdr:nvCxnSpPr>
        <xdr:cNvPr id="3" name="直接连接符 2"/>
        <xdr:cNvCxnSpPr/>
      </xdr:nvCxnSpPr>
      <xdr:spPr>
        <a:xfrm>
          <a:off x="19050" y="1104900"/>
          <a:ext cx="13430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yxp\&#28120;&#23453;\Excel\29&#20803;\3&#20934;&#22791;&#22909;\0&#39184;&#39278;\Excel&#34920;&#26684;\&#26032;&#24314;&#25991;&#20214;&#22841;%20(4)\&#32463;&#33829;&#20998;&#26512;(&#21830;&#1999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概况分析"/>
      <sheetName val="投资分析"/>
      <sheetName val="经营分析表"/>
      <sheetName val="年费用分析"/>
      <sheetName val="单位面积月费用分析"/>
      <sheetName val="自有产权单位面积费用"/>
      <sheetName val="收入分析"/>
      <sheetName val="返租单位面积费用"/>
      <sheetName val="返租分析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E29">
            <v>0.32666674308422</v>
          </cell>
        </row>
      </sheetData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6" sqref="C6"/>
    </sheetView>
  </sheetViews>
  <sheetFormatPr defaultColWidth="9" defaultRowHeight="14.25" outlineLevelCol="6"/>
  <cols>
    <col min="1" max="1" width="6.125" customWidth="1"/>
    <col min="2" max="2" width="18.375" style="458" customWidth="1"/>
    <col min="3" max="3" width="22.25" style="458" customWidth="1"/>
    <col min="4" max="4" width="14" customWidth="1"/>
    <col min="5" max="5" width="10.875" customWidth="1"/>
    <col min="6" max="6" width="13.25" customWidth="1"/>
    <col min="7" max="7" width="38.375" customWidth="1"/>
  </cols>
  <sheetData>
    <row r="1" s="99" customFormat="1" ht="29.25" customHeight="1" spans="1:7">
      <c r="A1" s="100"/>
      <c r="B1" s="403"/>
      <c r="C1" s="403"/>
      <c r="D1" s="100"/>
      <c r="E1" s="100"/>
      <c r="F1" s="100"/>
      <c r="G1" s="121" t="s">
        <v>0</v>
      </c>
    </row>
    <row r="2" ht="23.25" customHeight="1" spans="1:7">
      <c r="A2" s="459" t="s">
        <v>1</v>
      </c>
      <c r="B2" s="459"/>
      <c r="C2" s="459"/>
      <c r="D2" s="459"/>
      <c r="E2" s="459"/>
      <c r="F2" s="459"/>
      <c r="G2" s="459"/>
    </row>
    <row r="3" ht="19.5" customHeight="1" spans="1:7">
      <c r="A3" s="460"/>
      <c r="B3" s="461"/>
      <c r="C3" s="461"/>
      <c r="D3" s="462"/>
      <c r="E3" s="462"/>
      <c r="F3" s="462"/>
      <c r="G3" s="142" t="s">
        <v>2</v>
      </c>
    </row>
    <row r="4" ht="30.75" customHeight="1" spans="1:7">
      <c r="A4" s="463" t="s">
        <v>3</v>
      </c>
      <c r="B4" s="464" t="s">
        <v>4</v>
      </c>
      <c r="C4" s="465"/>
      <c r="D4" s="466" t="s">
        <v>5</v>
      </c>
      <c r="E4" s="466" t="s">
        <v>6</v>
      </c>
      <c r="F4" s="466" t="s">
        <v>7</v>
      </c>
      <c r="G4" s="467" t="s">
        <v>8</v>
      </c>
    </row>
    <row r="5" ht="30.75" customHeight="1" spans="1:7">
      <c r="A5" s="468" t="s">
        <v>9</v>
      </c>
      <c r="B5" s="469" t="s">
        <v>10</v>
      </c>
      <c r="C5" s="470" t="s">
        <v>11</v>
      </c>
      <c r="D5" s="471">
        <f>256*2500</f>
        <v>640000</v>
      </c>
      <c r="E5" s="472">
        <f>D5/$D$13</f>
        <v>0.305868858726821</v>
      </c>
      <c r="F5" s="473">
        <v>2</v>
      </c>
      <c r="G5" s="474" t="s">
        <v>12</v>
      </c>
    </row>
    <row r="6" ht="30.75" customHeight="1" spans="1:7">
      <c r="A6" s="475"/>
      <c r="B6" s="476" t="s">
        <v>13</v>
      </c>
      <c r="C6" s="470" t="s">
        <v>14</v>
      </c>
      <c r="D6" s="471">
        <f>256*500*0.7</f>
        <v>89600</v>
      </c>
      <c r="E6" s="472">
        <f t="shared" ref="E6:E13" si="0">D6/$D$13</f>
        <v>0.0428216402217549</v>
      </c>
      <c r="F6" s="473">
        <v>2</v>
      </c>
      <c r="G6" s="477" t="s">
        <v>15</v>
      </c>
    </row>
    <row r="7" ht="30.75" customHeight="1" spans="1:7">
      <c r="A7" s="475"/>
      <c r="B7" s="478"/>
      <c r="C7" s="469" t="s">
        <v>16</v>
      </c>
      <c r="D7" s="471">
        <f>256*0.3*7000</f>
        <v>537600</v>
      </c>
      <c r="E7" s="472">
        <f t="shared" si="0"/>
        <v>0.25692984133053</v>
      </c>
      <c r="F7" s="473">
        <v>2</v>
      </c>
      <c r="G7" s="477" t="s">
        <v>17</v>
      </c>
    </row>
    <row r="8" ht="30.75" customHeight="1" spans="1:7">
      <c r="A8" s="475"/>
      <c r="B8" s="478"/>
      <c r="C8" s="469" t="s">
        <v>18</v>
      </c>
      <c r="D8" s="471">
        <f>256*200</f>
        <v>51200</v>
      </c>
      <c r="E8" s="472">
        <f t="shared" si="0"/>
        <v>0.0244695086981457</v>
      </c>
      <c r="F8" s="473">
        <v>2</v>
      </c>
      <c r="G8" s="477" t="s">
        <v>19</v>
      </c>
    </row>
    <row r="9" ht="30.75" customHeight="1" spans="1:7">
      <c r="A9" s="475"/>
      <c r="B9" s="479"/>
      <c r="C9" s="480" t="s">
        <v>20</v>
      </c>
      <c r="D9" s="471">
        <f>SUM(D6:D8)</f>
        <v>678400</v>
      </c>
      <c r="E9" s="472">
        <f t="shared" si="0"/>
        <v>0.32422099025043</v>
      </c>
      <c r="F9" s="473"/>
      <c r="G9" s="477"/>
    </row>
    <row r="10" ht="30.75" customHeight="1" spans="1:7">
      <c r="A10" s="475"/>
      <c r="B10" s="469" t="s">
        <v>21</v>
      </c>
      <c r="C10" s="481"/>
      <c r="D10" s="471">
        <f>(D5+D6+D7+D8)*0.1</f>
        <v>131840</v>
      </c>
      <c r="E10" s="472">
        <f t="shared" si="0"/>
        <v>0.0630089848977251</v>
      </c>
      <c r="F10" s="473"/>
      <c r="G10" s="482" t="s">
        <v>22</v>
      </c>
    </row>
    <row r="11" ht="30.75" customHeight="1" spans="1:7">
      <c r="A11" s="483"/>
      <c r="B11" s="484" t="s">
        <v>23</v>
      </c>
      <c r="C11" s="485"/>
      <c r="D11" s="471">
        <f>D5+D9+D10</f>
        <v>1450240</v>
      </c>
      <c r="E11" s="472">
        <f t="shared" si="0"/>
        <v>0.693098833874976</v>
      </c>
      <c r="F11" s="473"/>
      <c r="G11" s="486"/>
    </row>
    <row r="12" ht="30.75" customHeight="1" spans="1:7">
      <c r="A12" s="487" t="s">
        <v>24</v>
      </c>
      <c r="B12" s="488"/>
      <c r="C12" s="481"/>
      <c r="D12" s="489">
        <f>256*(80+40)*3+450000+100000</f>
        <v>642160</v>
      </c>
      <c r="E12" s="472">
        <f t="shared" si="0"/>
        <v>0.306901166125024</v>
      </c>
      <c r="F12" s="473"/>
      <c r="G12" s="482" t="s">
        <v>25</v>
      </c>
    </row>
    <row r="13" ht="30.75" customHeight="1" spans="1:7">
      <c r="A13" s="490" t="s">
        <v>26</v>
      </c>
      <c r="B13" s="491"/>
      <c r="C13" s="485"/>
      <c r="D13" s="492">
        <f>D11+D12</f>
        <v>2092400</v>
      </c>
      <c r="E13" s="472">
        <f t="shared" si="0"/>
        <v>1</v>
      </c>
      <c r="F13" s="493"/>
      <c r="G13" s="494"/>
    </row>
    <row r="14" ht="30.75" customHeight="1" spans="1:7">
      <c r="A14" s="495" t="s">
        <v>27</v>
      </c>
      <c r="B14" s="496"/>
      <c r="C14" s="497"/>
      <c r="D14" s="498" t="s">
        <v>28</v>
      </c>
      <c r="E14" s="499"/>
      <c r="F14" s="500"/>
      <c r="G14" s="501" t="s">
        <v>29</v>
      </c>
    </row>
  </sheetData>
  <mergeCells count="9">
    <mergeCell ref="A2:G2"/>
    <mergeCell ref="B4:C4"/>
    <mergeCell ref="B11:C11"/>
    <mergeCell ref="A12:C12"/>
    <mergeCell ref="A13:C13"/>
    <mergeCell ref="A14:C14"/>
    <mergeCell ref="D14:F14"/>
    <mergeCell ref="A5:A11"/>
    <mergeCell ref="B6:B9"/>
  </mergeCells>
  <printOptions horizontalCentered="1"/>
  <pageMargins left="0" right="0" top="0.156944444444444" bottom="0" header="0.314583333333333" footer="0.31458333333333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"/>
  <sheetViews>
    <sheetView workbookViewId="0">
      <selection activeCell="L14" sqref="L14"/>
    </sheetView>
  </sheetViews>
  <sheetFormatPr defaultColWidth="9" defaultRowHeight="18" customHeight="1"/>
  <cols>
    <col min="1" max="1" width="6.25" style="46" customWidth="1"/>
    <col min="2" max="2" width="6.75" style="47" customWidth="1"/>
    <col min="3" max="3" width="13.75" style="46" hidden="1" customWidth="1"/>
    <col min="4" max="4" width="9.5" style="48" customWidth="1"/>
    <col min="5" max="5" width="9.375" style="49" customWidth="1"/>
    <col min="6" max="6" width="9.125" style="49" customWidth="1"/>
    <col min="7" max="7" width="9.375" style="49" customWidth="1"/>
    <col min="8" max="8" width="11" style="49" customWidth="1"/>
    <col min="9" max="10" width="9.125" style="49" customWidth="1"/>
    <col min="11" max="11" width="11" style="49" customWidth="1"/>
    <col min="12" max="12" width="10" style="49" customWidth="1"/>
    <col min="13" max="13" width="10.125" style="50" customWidth="1"/>
    <col min="14" max="16" width="9.25" style="50" customWidth="1"/>
    <col min="17" max="17" width="9.125" style="50" customWidth="1"/>
    <col min="18" max="19" width="6.5" style="50" customWidth="1"/>
    <col min="20" max="20" width="8.5" style="50" customWidth="1"/>
    <col min="21" max="21" width="9" style="50" customWidth="1"/>
    <col min="22" max="246" width="9" style="50"/>
    <col min="247" max="247" width="8.625" style="50" customWidth="1"/>
    <col min="248" max="248" width="6.5" style="50" customWidth="1"/>
    <col min="249" max="249" width="9" style="50" hidden="1" customWidth="1"/>
    <col min="250" max="250" width="7.75" style="50" customWidth="1"/>
    <col min="251" max="251" width="6.875" style="50" customWidth="1"/>
    <col min="252" max="263" width="6.125" style="50" customWidth="1"/>
    <col min="264" max="264" width="5.875" style="50" customWidth="1"/>
    <col min="265" max="272" width="6.125" style="50" customWidth="1"/>
    <col min="273" max="277" width="9" style="50" hidden="1" customWidth="1"/>
    <col min="278" max="502" width="9" style="50"/>
    <col min="503" max="503" width="8.625" style="50" customWidth="1"/>
    <col min="504" max="504" width="6.5" style="50" customWidth="1"/>
    <col min="505" max="505" width="9" style="50" hidden="1" customWidth="1"/>
    <col min="506" max="506" width="7.75" style="50" customWidth="1"/>
    <col min="507" max="507" width="6.875" style="50" customWidth="1"/>
    <col min="508" max="519" width="6.125" style="50" customWidth="1"/>
    <col min="520" max="520" width="5.875" style="50" customWidth="1"/>
    <col min="521" max="528" width="6.125" style="50" customWidth="1"/>
    <col min="529" max="533" width="9" style="50" hidden="1" customWidth="1"/>
    <col min="534" max="758" width="9" style="50"/>
    <col min="759" max="759" width="8.625" style="50" customWidth="1"/>
    <col min="760" max="760" width="6.5" style="50" customWidth="1"/>
    <col min="761" max="761" width="9" style="50" hidden="1" customWidth="1"/>
    <col min="762" max="762" width="7.75" style="50" customWidth="1"/>
    <col min="763" max="763" width="6.875" style="50" customWidth="1"/>
    <col min="764" max="775" width="6.125" style="50" customWidth="1"/>
    <col min="776" max="776" width="5.875" style="50" customWidth="1"/>
    <col min="777" max="784" width="6.125" style="50" customWidth="1"/>
    <col min="785" max="789" width="9" style="50" hidden="1" customWidth="1"/>
    <col min="790" max="1014" width="9" style="50"/>
    <col min="1015" max="1015" width="8.625" style="50" customWidth="1"/>
    <col min="1016" max="1016" width="6.5" style="50" customWidth="1"/>
    <col min="1017" max="1017" width="9" style="50" hidden="1" customWidth="1"/>
    <col min="1018" max="1018" width="7.75" style="50" customWidth="1"/>
    <col min="1019" max="1019" width="6.875" style="50" customWidth="1"/>
    <col min="1020" max="1031" width="6.125" style="50" customWidth="1"/>
    <col min="1032" max="1032" width="5.875" style="50" customWidth="1"/>
    <col min="1033" max="1040" width="6.125" style="50" customWidth="1"/>
    <col min="1041" max="1045" width="9" style="50" hidden="1" customWidth="1"/>
    <col min="1046" max="1270" width="9" style="50"/>
    <col min="1271" max="1271" width="8.625" style="50" customWidth="1"/>
    <col min="1272" max="1272" width="6.5" style="50" customWidth="1"/>
    <col min="1273" max="1273" width="9" style="50" hidden="1" customWidth="1"/>
    <col min="1274" max="1274" width="7.75" style="50" customWidth="1"/>
    <col min="1275" max="1275" width="6.875" style="50" customWidth="1"/>
    <col min="1276" max="1287" width="6.125" style="50" customWidth="1"/>
    <col min="1288" max="1288" width="5.875" style="50" customWidth="1"/>
    <col min="1289" max="1296" width="6.125" style="50" customWidth="1"/>
    <col min="1297" max="1301" width="9" style="50" hidden="1" customWidth="1"/>
    <col min="1302" max="1526" width="9" style="50"/>
    <col min="1527" max="1527" width="8.625" style="50" customWidth="1"/>
    <col min="1528" max="1528" width="6.5" style="50" customWidth="1"/>
    <col min="1529" max="1529" width="9" style="50" hidden="1" customWidth="1"/>
    <col min="1530" max="1530" width="7.75" style="50" customWidth="1"/>
    <col min="1531" max="1531" width="6.875" style="50" customWidth="1"/>
    <col min="1532" max="1543" width="6.125" style="50" customWidth="1"/>
    <col min="1544" max="1544" width="5.875" style="50" customWidth="1"/>
    <col min="1545" max="1552" width="6.125" style="50" customWidth="1"/>
    <col min="1553" max="1557" width="9" style="50" hidden="1" customWidth="1"/>
    <col min="1558" max="1782" width="9" style="50"/>
    <col min="1783" max="1783" width="8.625" style="50" customWidth="1"/>
    <col min="1784" max="1784" width="6.5" style="50" customWidth="1"/>
    <col min="1785" max="1785" width="9" style="50" hidden="1" customWidth="1"/>
    <col min="1786" max="1786" width="7.75" style="50" customWidth="1"/>
    <col min="1787" max="1787" width="6.875" style="50" customWidth="1"/>
    <col min="1788" max="1799" width="6.125" style="50" customWidth="1"/>
    <col min="1800" max="1800" width="5.875" style="50" customWidth="1"/>
    <col min="1801" max="1808" width="6.125" style="50" customWidth="1"/>
    <col min="1809" max="1813" width="9" style="50" hidden="1" customWidth="1"/>
    <col min="1814" max="2038" width="9" style="50"/>
    <col min="2039" max="2039" width="8.625" style="50" customWidth="1"/>
    <col min="2040" max="2040" width="6.5" style="50" customWidth="1"/>
    <col min="2041" max="2041" width="9" style="50" hidden="1" customWidth="1"/>
    <col min="2042" max="2042" width="7.75" style="50" customWidth="1"/>
    <col min="2043" max="2043" width="6.875" style="50" customWidth="1"/>
    <col min="2044" max="2055" width="6.125" style="50" customWidth="1"/>
    <col min="2056" max="2056" width="5.875" style="50" customWidth="1"/>
    <col min="2057" max="2064" width="6.125" style="50" customWidth="1"/>
    <col min="2065" max="2069" width="9" style="50" hidden="1" customWidth="1"/>
    <col min="2070" max="2294" width="9" style="50"/>
    <col min="2295" max="2295" width="8.625" style="50" customWidth="1"/>
    <col min="2296" max="2296" width="6.5" style="50" customWidth="1"/>
    <col min="2297" max="2297" width="9" style="50" hidden="1" customWidth="1"/>
    <col min="2298" max="2298" width="7.75" style="50" customWidth="1"/>
    <col min="2299" max="2299" width="6.875" style="50" customWidth="1"/>
    <col min="2300" max="2311" width="6.125" style="50" customWidth="1"/>
    <col min="2312" max="2312" width="5.875" style="50" customWidth="1"/>
    <col min="2313" max="2320" width="6.125" style="50" customWidth="1"/>
    <col min="2321" max="2325" width="9" style="50" hidden="1" customWidth="1"/>
    <col min="2326" max="2550" width="9" style="50"/>
    <col min="2551" max="2551" width="8.625" style="50" customWidth="1"/>
    <col min="2552" max="2552" width="6.5" style="50" customWidth="1"/>
    <col min="2553" max="2553" width="9" style="50" hidden="1" customWidth="1"/>
    <col min="2554" max="2554" width="7.75" style="50" customWidth="1"/>
    <col min="2555" max="2555" width="6.875" style="50" customWidth="1"/>
    <col min="2556" max="2567" width="6.125" style="50" customWidth="1"/>
    <col min="2568" max="2568" width="5.875" style="50" customWidth="1"/>
    <col min="2569" max="2576" width="6.125" style="50" customWidth="1"/>
    <col min="2577" max="2581" width="9" style="50" hidden="1" customWidth="1"/>
    <col min="2582" max="2806" width="9" style="50"/>
    <col min="2807" max="2807" width="8.625" style="50" customWidth="1"/>
    <col min="2808" max="2808" width="6.5" style="50" customWidth="1"/>
    <col min="2809" max="2809" width="9" style="50" hidden="1" customWidth="1"/>
    <col min="2810" max="2810" width="7.75" style="50" customWidth="1"/>
    <col min="2811" max="2811" width="6.875" style="50" customWidth="1"/>
    <col min="2812" max="2823" width="6.125" style="50" customWidth="1"/>
    <col min="2824" max="2824" width="5.875" style="50" customWidth="1"/>
    <col min="2825" max="2832" width="6.125" style="50" customWidth="1"/>
    <col min="2833" max="2837" width="9" style="50" hidden="1" customWidth="1"/>
    <col min="2838" max="3062" width="9" style="50"/>
    <col min="3063" max="3063" width="8.625" style="50" customWidth="1"/>
    <col min="3064" max="3064" width="6.5" style="50" customWidth="1"/>
    <col min="3065" max="3065" width="9" style="50" hidden="1" customWidth="1"/>
    <col min="3066" max="3066" width="7.75" style="50" customWidth="1"/>
    <col min="3067" max="3067" width="6.875" style="50" customWidth="1"/>
    <col min="3068" max="3079" width="6.125" style="50" customWidth="1"/>
    <col min="3080" max="3080" width="5.875" style="50" customWidth="1"/>
    <col min="3081" max="3088" width="6.125" style="50" customWidth="1"/>
    <col min="3089" max="3093" width="9" style="50" hidden="1" customWidth="1"/>
    <col min="3094" max="3318" width="9" style="50"/>
    <col min="3319" max="3319" width="8.625" style="50" customWidth="1"/>
    <col min="3320" max="3320" width="6.5" style="50" customWidth="1"/>
    <col min="3321" max="3321" width="9" style="50" hidden="1" customWidth="1"/>
    <col min="3322" max="3322" width="7.75" style="50" customWidth="1"/>
    <col min="3323" max="3323" width="6.875" style="50" customWidth="1"/>
    <col min="3324" max="3335" width="6.125" style="50" customWidth="1"/>
    <col min="3336" max="3336" width="5.875" style="50" customWidth="1"/>
    <col min="3337" max="3344" width="6.125" style="50" customWidth="1"/>
    <col min="3345" max="3349" width="9" style="50" hidden="1" customWidth="1"/>
    <col min="3350" max="3574" width="9" style="50"/>
    <col min="3575" max="3575" width="8.625" style="50" customWidth="1"/>
    <col min="3576" max="3576" width="6.5" style="50" customWidth="1"/>
    <col min="3577" max="3577" width="9" style="50" hidden="1" customWidth="1"/>
    <col min="3578" max="3578" width="7.75" style="50" customWidth="1"/>
    <col min="3579" max="3579" width="6.875" style="50" customWidth="1"/>
    <col min="3580" max="3591" width="6.125" style="50" customWidth="1"/>
    <col min="3592" max="3592" width="5.875" style="50" customWidth="1"/>
    <col min="3593" max="3600" width="6.125" style="50" customWidth="1"/>
    <col min="3601" max="3605" width="9" style="50" hidden="1" customWidth="1"/>
    <col min="3606" max="3830" width="9" style="50"/>
    <col min="3831" max="3831" width="8.625" style="50" customWidth="1"/>
    <col min="3832" max="3832" width="6.5" style="50" customWidth="1"/>
    <col min="3833" max="3833" width="9" style="50" hidden="1" customWidth="1"/>
    <col min="3834" max="3834" width="7.75" style="50" customWidth="1"/>
    <col min="3835" max="3835" width="6.875" style="50" customWidth="1"/>
    <col min="3836" max="3847" width="6.125" style="50" customWidth="1"/>
    <col min="3848" max="3848" width="5.875" style="50" customWidth="1"/>
    <col min="3849" max="3856" width="6.125" style="50" customWidth="1"/>
    <col min="3857" max="3861" width="9" style="50" hidden="1" customWidth="1"/>
    <col min="3862" max="4086" width="9" style="50"/>
    <col min="4087" max="4087" width="8.625" style="50" customWidth="1"/>
    <col min="4088" max="4088" width="6.5" style="50" customWidth="1"/>
    <col min="4089" max="4089" width="9" style="50" hidden="1" customWidth="1"/>
    <col min="4090" max="4090" width="7.75" style="50" customWidth="1"/>
    <col min="4091" max="4091" width="6.875" style="50" customWidth="1"/>
    <col min="4092" max="4103" width="6.125" style="50" customWidth="1"/>
    <col min="4104" max="4104" width="5.875" style="50" customWidth="1"/>
    <col min="4105" max="4112" width="6.125" style="50" customWidth="1"/>
    <col min="4113" max="4117" width="9" style="50" hidden="1" customWidth="1"/>
    <col min="4118" max="4342" width="9" style="50"/>
    <col min="4343" max="4343" width="8.625" style="50" customWidth="1"/>
    <col min="4344" max="4344" width="6.5" style="50" customWidth="1"/>
    <col min="4345" max="4345" width="9" style="50" hidden="1" customWidth="1"/>
    <col min="4346" max="4346" width="7.75" style="50" customWidth="1"/>
    <col min="4347" max="4347" width="6.875" style="50" customWidth="1"/>
    <col min="4348" max="4359" width="6.125" style="50" customWidth="1"/>
    <col min="4360" max="4360" width="5.875" style="50" customWidth="1"/>
    <col min="4361" max="4368" width="6.125" style="50" customWidth="1"/>
    <col min="4369" max="4373" width="9" style="50" hidden="1" customWidth="1"/>
    <col min="4374" max="4598" width="9" style="50"/>
    <col min="4599" max="4599" width="8.625" style="50" customWidth="1"/>
    <col min="4600" max="4600" width="6.5" style="50" customWidth="1"/>
    <col min="4601" max="4601" width="9" style="50" hidden="1" customWidth="1"/>
    <col min="4602" max="4602" width="7.75" style="50" customWidth="1"/>
    <col min="4603" max="4603" width="6.875" style="50" customWidth="1"/>
    <col min="4604" max="4615" width="6.125" style="50" customWidth="1"/>
    <col min="4616" max="4616" width="5.875" style="50" customWidth="1"/>
    <col min="4617" max="4624" width="6.125" style="50" customWidth="1"/>
    <col min="4625" max="4629" width="9" style="50" hidden="1" customWidth="1"/>
    <col min="4630" max="4854" width="9" style="50"/>
    <col min="4855" max="4855" width="8.625" style="50" customWidth="1"/>
    <col min="4856" max="4856" width="6.5" style="50" customWidth="1"/>
    <col min="4857" max="4857" width="9" style="50" hidden="1" customWidth="1"/>
    <col min="4858" max="4858" width="7.75" style="50" customWidth="1"/>
    <col min="4859" max="4859" width="6.875" style="50" customWidth="1"/>
    <col min="4860" max="4871" width="6.125" style="50" customWidth="1"/>
    <col min="4872" max="4872" width="5.875" style="50" customWidth="1"/>
    <col min="4873" max="4880" width="6.125" style="50" customWidth="1"/>
    <col min="4881" max="4885" width="9" style="50" hidden="1" customWidth="1"/>
    <col min="4886" max="5110" width="9" style="50"/>
    <col min="5111" max="5111" width="8.625" style="50" customWidth="1"/>
    <col min="5112" max="5112" width="6.5" style="50" customWidth="1"/>
    <col min="5113" max="5113" width="9" style="50" hidden="1" customWidth="1"/>
    <col min="5114" max="5114" width="7.75" style="50" customWidth="1"/>
    <col min="5115" max="5115" width="6.875" style="50" customWidth="1"/>
    <col min="5116" max="5127" width="6.125" style="50" customWidth="1"/>
    <col min="5128" max="5128" width="5.875" style="50" customWidth="1"/>
    <col min="5129" max="5136" width="6.125" style="50" customWidth="1"/>
    <col min="5137" max="5141" width="9" style="50" hidden="1" customWidth="1"/>
    <col min="5142" max="5366" width="9" style="50"/>
    <col min="5367" max="5367" width="8.625" style="50" customWidth="1"/>
    <col min="5368" max="5368" width="6.5" style="50" customWidth="1"/>
    <col min="5369" max="5369" width="9" style="50" hidden="1" customWidth="1"/>
    <col min="5370" max="5370" width="7.75" style="50" customWidth="1"/>
    <col min="5371" max="5371" width="6.875" style="50" customWidth="1"/>
    <col min="5372" max="5383" width="6.125" style="50" customWidth="1"/>
    <col min="5384" max="5384" width="5.875" style="50" customWidth="1"/>
    <col min="5385" max="5392" width="6.125" style="50" customWidth="1"/>
    <col min="5393" max="5397" width="9" style="50" hidden="1" customWidth="1"/>
    <col min="5398" max="5622" width="9" style="50"/>
    <col min="5623" max="5623" width="8.625" style="50" customWidth="1"/>
    <col min="5624" max="5624" width="6.5" style="50" customWidth="1"/>
    <col min="5625" max="5625" width="9" style="50" hidden="1" customWidth="1"/>
    <col min="5626" max="5626" width="7.75" style="50" customWidth="1"/>
    <col min="5627" max="5627" width="6.875" style="50" customWidth="1"/>
    <col min="5628" max="5639" width="6.125" style="50" customWidth="1"/>
    <col min="5640" max="5640" width="5.875" style="50" customWidth="1"/>
    <col min="5641" max="5648" width="6.125" style="50" customWidth="1"/>
    <col min="5649" max="5653" width="9" style="50" hidden="1" customWidth="1"/>
    <col min="5654" max="5878" width="9" style="50"/>
    <col min="5879" max="5879" width="8.625" style="50" customWidth="1"/>
    <col min="5880" max="5880" width="6.5" style="50" customWidth="1"/>
    <col min="5881" max="5881" width="9" style="50" hidden="1" customWidth="1"/>
    <col min="5882" max="5882" width="7.75" style="50" customWidth="1"/>
    <col min="5883" max="5883" width="6.875" style="50" customWidth="1"/>
    <col min="5884" max="5895" width="6.125" style="50" customWidth="1"/>
    <col min="5896" max="5896" width="5.875" style="50" customWidth="1"/>
    <col min="5897" max="5904" width="6.125" style="50" customWidth="1"/>
    <col min="5905" max="5909" width="9" style="50" hidden="1" customWidth="1"/>
    <col min="5910" max="6134" width="9" style="50"/>
    <col min="6135" max="6135" width="8.625" style="50" customWidth="1"/>
    <col min="6136" max="6136" width="6.5" style="50" customWidth="1"/>
    <col min="6137" max="6137" width="9" style="50" hidden="1" customWidth="1"/>
    <col min="6138" max="6138" width="7.75" style="50" customWidth="1"/>
    <col min="6139" max="6139" width="6.875" style="50" customWidth="1"/>
    <col min="6140" max="6151" width="6.125" style="50" customWidth="1"/>
    <col min="6152" max="6152" width="5.875" style="50" customWidth="1"/>
    <col min="6153" max="6160" width="6.125" style="50" customWidth="1"/>
    <col min="6161" max="6165" width="9" style="50" hidden="1" customWidth="1"/>
    <col min="6166" max="6390" width="9" style="50"/>
    <col min="6391" max="6391" width="8.625" style="50" customWidth="1"/>
    <col min="6392" max="6392" width="6.5" style="50" customWidth="1"/>
    <col min="6393" max="6393" width="9" style="50" hidden="1" customWidth="1"/>
    <col min="6394" max="6394" width="7.75" style="50" customWidth="1"/>
    <col min="6395" max="6395" width="6.875" style="50" customWidth="1"/>
    <col min="6396" max="6407" width="6.125" style="50" customWidth="1"/>
    <col min="6408" max="6408" width="5.875" style="50" customWidth="1"/>
    <col min="6409" max="6416" width="6.125" style="50" customWidth="1"/>
    <col min="6417" max="6421" width="9" style="50" hidden="1" customWidth="1"/>
    <col min="6422" max="6646" width="9" style="50"/>
    <col min="6647" max="6647" width="8.625" style="50" customWidth="1"/>
    <col min="6648" max="6648" width="6.5" style="50" customWidth="1"/>
    <col min="6649" max="6649" width="9" style="50" hidden="1" customWidth="1"/>
    <col min="6650" max="6650" width="7.75" style="50" customWidth="1"/>
    <col min="6651" max="6651" width="6.875" style="50" customWidth="1"/>
    <col min="6652" max="6663" width="6.125" style="50" customWidth="1"/>
    <col min="6664" max="6664" width="5.875" style="50" customWidth="1"/>
    <col min="6665" max="6672" width="6.125" style="50" customWidth="1"/>
    <col min="6673" max="6677" width="9" style="50" hidden="1" customWidth="1"/>
    <col min="6678" max="6902" width="9" style="50"/>
    <col min="6903" max="6903" width="8.625" style="50" customWidth="1"/>
    <col min="6904" max="6904" width="6.5" style="50" customWidth="1"/>
    <col min="6905" max="6905" width="9" style="50" hidden="1" customWidth="1"/>
    <col min="6906" max="6906" width="7.75" style="50" customWidth="1"/>
    <col min="6907" max="6907" width="6.875" style="50" customWidth="1"/>
    <col min="6908" max="6919" width="6.125" style="50" customWidth="1"/>
    <col min="6920" max="6920" width="5.875" style="50" customWidth="1"/>
    <col min="6921" max="6928" width="6.125" style="50" customWidth="1"/>
    <col min="6929" max="6933" width="9" style="50" hidden="1" customWidth="1"/>
    <col min="6934" max="7158" width="9" style="50"/>
    <col min="7159" max="7159" width="8.625" style="50" customWidth="1"/>
    <col min="7160" max="7160" width="6.5" style="50" customWidth="1"/>
    <col min="7161" max="7161" width="9" style="50" hidden="1" customWidth="1"/>
    <col min="7162" max="7162" width="7.75" style="50" customWidth="1"/>
    <col min="7163" max="7163" width="6.875" style="50" customWidth="1"/>
    <col min="7164" max="7175" width="6.125" style="50" customWidth="1"/>
    <col min="7176" max="7176" width="5.875" style="50" customWidth="1"/>
    <col min="7177" max="7184" width="6.125" style="50" customWidth="1"/>
    <col min="7185" max="7189" width="9" style="50" hidden="1" customWidth="1"/>
    <col min="7190" max="7414" width="9" style="50"/>
    <col min="7415" max="7415" width="8.625" style="50" customWidth="1"/>
    <col min="7416" max="7416" width="6.5" style="50" customWidth="1"/>
    <col min="7417" max="7417" width="9" style="50" hidden="1" customWidth="1"/>
    <col min="7418" max="7418" width="7.75" style="50" customWidth="1"/>
    <col min="7419" max="7419" width="6.875" style="50" customWidth="1"/>
    <col min="7420" max="7431" width="6.125" style="50" customWidth="1"/>
    <col min="7432" max="7432" width="5.875" style="50" customWidth="1"/>
    <col min="7433" max="7440" width="6.125" style="50" customWidth="1"/>
    <col min="7441" max="7445" width="9" style="50" hidden="1" customWidth="1"/>
    <col min="7446" max="7670" width="9" style="50"/>
    <col min="7671" max="7671" width="8.625" style="50" customWidth="1"/>
    <col min="7672" max="7672" width="6.5" style="50" customWidth="1"/>
    <col min="7673" max="7673" width="9" style="50" hidden="1" customWidth="1"/>
    <col min="7674" max="7674" width="7.75" style="50" customWidth="1"/>
    <col min="7675" max="7675" width="6.875" style="50" customWidth="1"/>
    <col min="7676" max="7687" width="6.125" style="50" customWidth="1"/>
    <col min="7688" max="7688" width="5.875" style="50" customWidth="1"/>
    <col min="7689" max="7696" width="6.125" style="50" customWidth="1"/>
    <col min="7697" max="7701" width="9" style="50" hidden="1" customWidth="1"/>
    <col min="7702" max="7926" width="9" style="50"/>
    <col min="7927" max="7927" width="8.625" style="50" customWidth="1"/>
    <col min="7928" max="7928" width="6.5" style="50" customWidth="1"/>
    <col min="7929" max="7929" width="9" style="50" hidden="1" customWidth="1"/>
    <col min="7930" max="7930" width="7.75" style="50" customWidth="1"/>
    <col min="7931" max="7931" width="6.875" style="50" customWidth="1"/>
    <col min="7932" max="7943" width="6.125" style="50" customWidth="1"/>
    <col min="7944" max="7944" width="5.875" style="50" customWidth="1"/>
    <col min="7945" max="7952" width="6.125" style="50" customWidth="1"/>
    <col min="7953" max="7957" width="9" style="50" hidden="1" customWidth="1"/>
    <col min="7958" max="8182" width="9" style="50"/>
    <col min="8183" max="8183" width="8.625" style="50" customWidth="1"/>
    <col min="8184" max="8184" width="6.5" style="50" customWidth="1"/>
    <col min="8185" max="8185" width="9" style="50" hidden="1" customWidth="1"/>
    <col min="8186" max="8186" width="7.75" style="50" customWidth="1"/>
    <col min="8187" max="8187" width="6.875" style="50" customWidth="1"/>
    <col min="8188" max="8199" width="6.125" style="50" customWidth="1"/>
    <col min="8200" max="8200" width="5.875" style="50" customWidth="1"/>
    <col min="8201" max="8208" width="6.125" style="50" customWidth="1"/>
    <col min="8209" max="8213" width="9" style="50" hidden="1" customWidth="1"/>
    <col min="8214" max="8438" width="9" style="50"/>
    <col min="8439" max="8439" width="8.625" style="50" customWidth="1"/>
    <col min="8440" max="8440" width="6.5" style="50" customWidth="1"/>
    <col min="8441" max="8441" width="9" style="50" hidden="1" customWidth="1"/>
    <col min="8442" max="8442" width="7.75" style="50" customWidth="1"/>
    <col min="8443" max="8443" width="6.875" style="50" customWidth="1"/>
    <col min="8444" max="8455" width="6.125" style="50" customWidth="1"/>
    <col min="8456" max="8456" width="5.875" style="50" customWidth="1"/>
    <col min="8457" max="8464" width="6.125" style="50" customWidth="1"/>
    <col min="8465" max="8469" width="9" style="50" hidden="1" customWidth="1"/>
    <col min="8470" max="8694" width="9" style="50"/>
    <col min="8695" max="8695" width="8.625" style="50" customWidth="1"/>
    <col min="8696" max="8696" width="6.5" style="50" customWidth="1"/>
    <col min="8697" max="8697" width="9" style="50" hidden="1" customWidth="1"/>
    <col min="8698" max="8698" width="7.75" style="50" customWidth="1"/>
    <col min="8699" max="8699" width="6.875" style="50" customWidth="1"/>
    <col min="8700" max="8711" width="6.125" style="50" customWidth="1"/>
    <col min="8712" max="8712" width="5.875" style="50" customWidth="1"/>
    <col min="8713" max="8720" width="6.125" style="50" customWidth="1"/>
    <col min="8721" max="8725" width="9" style="50" hidden="1" customWidth="1"/>
    <col min="8726" max="8950" width="9" style="50"/>
    <col min="8951" max="8951" width="8.625" style="50" customWidth="1"/>
    <col min="8952" max="8952" width="6.5" style="50" customWidth="1"/>
    <col min="8953" max="8953" width="9" style="50" hidden="1" customWidth="1"/>
    <col min="8954" max="8954" width="7.75" style="50" customWidth="1"/>
    <col min="8955" max="8955" width="6.875" style="50" customWidth="1"/>
    <col min="8956" max="8967" width="6.125" style="50" customWidth="1"/>
    <col min="8968" max="8968" width="5.875" style="50" customWidth="1"/>
    <col min="8969" max="8976" width="6.125" style="50" customWidth="1"/>
    <col min="8977" max="8981" width="9" style="50" hidden="1" customWidth="1"/>
    <col min="8982" max="9206" width="9" style="50"/>
    <col min="9207" max="9207" width="8.625" style="50" customWidth="1"/>
    <col min="9208" max="9208" width="6.5" style="50" customWidth="1"/>
    <col min="9209" max="9209" width="9" style="50" hidden="1" customWidth="1"/>
    <col min="9210" max="9210" width="7.75" style="50" customWidth="1"/>
    <col min="9211" max="9211" width="6.875" style="50" customWidth="1"/>
    <col min="9212" max="9223" width="6.125" style="50" customWidth="1"/>
    <col min="9224" max="9224" width="5.875" style="50" customWidth="1"/>
    <col min="9225" max="9232" width="6.125" style="50" customWidth="1"/>
    <col min="9233" max="9237" width="9" style="50" hidden="1" customWidth="1"/>
    <col min="9238" max="9462" width="9" style="50"/>
    <col min="9463" max="9463" width="8.625" style="50" customWidth="1"/>
    <col min="9464" max="9464" width="6.5" style="50" customWidth="1"/>
    <col min="9465" max="9465" width="9" style="50" hidden="1" customWidth="1"/>
    <col min="9466" max="9466" width="7.75" style="50" customWidth="1"/>
    <col min="9467" max="9467" width="6.875" style="50" customWidth="1"/>
    <col min="9468" max="9479" width="6.125" style="50" customWidth="1"/>
    <col min="9480" max="9480" width="5.875" style="50" customWidth="1"/>
    <col min="9481" max="9488" width="6.125" style="50" customWidth="1"/>
    <col min="9489" max="9493" width="9" style="50" hidden="1" customWidth="1"/>
    <col min="9494" max="9718" width="9" style="50"/>
    <col min="9719" max="9719" width="8.625" style="50" customWidth="1"/>
    <col min="9720" max="9720" width="6.5" style="50" customWidth="1"/>
    <col min="9721" max="9721" width="9" style="50" hidden="1" customWidth="1"/>
    <col min="9722" max="9722" width="7.75" style="50" customWidth="1"/>
    <col min="9723" max="9723" width="6.875" style="50" customWidth="1"/>
    <col min="9724" max="9735" width="6.125" style="50" customWidth="1"/>
    <col min="9736" max="9736" width="5.875" style="50" customWidth="1"/>
    <col min="9737" max="9744" width="6.125" style="50" customWidth="1"/>
    <col min="9745" max="9749" width="9" style="50" hidden="1" customWidth="1"/>
    <col min="9750" max="9974" width="9" style="50"/>
    <col min="9975" max="9975" width="8.625" style="50" customWidth="1"/>
    <col min="9976" max="9976" width="6.5" style="50" customWidth="1"/>
    <col min="9977" max="9977" width="9" style="50" hidden="1" customWidth="1"/>
    <col min="9978" max="9978" width="7.75" style="50" customWidth="1"/>
    <col min="9979" max="9979" width="6.875" style="50" customWidth="1"/>
    <col min="9980" max="9991" width="6.125" style="50" customWidth="1"/>
    <col min="9992" max="9992" width="5.875" style="50" customWidth="1"/>
    <col min="9993" max="10000" width="6.125" style="50" customWidth="1"/>
    <col min="10001" max="10005" width="9" style="50" hidden="1" customWidth="1"/>
    <col min="10006" max="10230" width="9" style="50"/>
    <col min="10231" max="10231" width="8.625" style="50" customWidth="1"/>
    <col min="10232" max="10232" width="6.5" style="50" customWidth="1"/>
    <col min="10233" max="10233" width="9" style="50" hidden="1" customWidth="1"/>
    <col min="10234" max="10234" width="7.75" style="50" customWidth="1"/>
    <col min="10235" max="10235" width="6.875" style="50" customWidth="1"/>
    <col min="10236" max="10247" width="6.125" style="50" customWidth="1"/>
    <col min="10248" max="10248" width="5.875" style="50" customWidth="1"/>
    <col min="10249" max="10256" width="6.125" style="50" customWidth="1"/>
    <col min="10257" max="10261" width="9" style="50" hidden="1" customWidth="1"/>
    <col min="10262" max="10486" width="9" style="50"/>
    <col min="10487" max="10487" width="8.625" style="50" customWidth="1"/>
    <col min="10488" max="10488" width="6.5" style="50" customWidth="1"/>
    <col min="10489" max="10489" width="9" style="50" hidden="1" customWidth="1"/>
    <col min="10490" max="10490" width="7.75" style="50" customWidth="1"/>
    <col min="10491" max="10491" width="6.875" style="50" customWidth="1"/>
    <col min="10492" max="10503" width="6.125" style="50" customWidth="1"/>
    <col min="10504" max="10504" width="5.875" style="50" customWidth="1"/>
    <col min="10505" max="10512" width="6.125" style="50" customWidth="1"/>
    <col min="10513" max="10517" width="9" style="50" hidden="1" customWidth="1"/>
    <col min="10518" max="10742" width="9" style="50"/>
    <col min="10743" max="10743" width="8.625" style="50" customWidth="1"/>
    <col min="10744" max="10744" width="6.5" style="50" customWidth="1"/>
    <col min="10745" max="10745" width="9" style="50" hidden="1" customWidth="1"/>
    <col min="10746" max="10746" width="7.75" style="50" customWidth="1"/>
    <col min="10747" max="10747" width="6.875" style="50" customWidth="1"/>
    <col min="10748" max="10759" width="6.125" style="50" customWidth="1"/>
    <col min="10760" max="10760" width="5.875" style="50" customWidth="1"/>
    <col min="10761" max="10768" width="6.125" style="50" customWidth="1"/>
    <col min="10769" max="10773" width="9" style="50" hidden="1" customWidth="1"/>
    <col min="10774" max="10998" width="9" style="50"/>
    <col min="10999" max="10999" width="8.625" style="50" customWidth="1"/>
    <col min="11000" max="11000" width="6.5" style="50" customWidth="1"/>
    <col min="11001" max="11001" width="9" style="50" hidden="1" customWidth="1"/>
    <col min="11002" max="11002" width="7.75" style="50" customWidth="1"/>
    <col min="11003" max="11003" width="6.875" style="50" customWidth="1"/>
    <col min="11004" max="11015" width="6.125" style="50" customWidth="1"/>
    <col min="11016" max="11016" width="5.875" style="50" customWidth="1"/>
    <col min="11017" max="11024" width="6.125" style="50" customWidth="1"/>
    <col min="11025" max="11029" width="9" style="50" hidden="1" customWidth="1"/>
    <col min="11030" max="11254" width="9" style="50"/>
    <col min="11255" max="11255" width="8.625" style="50" customWidth="1"/>
    <col min="11256" max="11256" width="6.5" style="50" customWidth="1"/>
    <col min="11257" max="11257" width="9" style="50" hidden="1" customWidth="1"/>
    <col min="11258" max="11258" width="7.75" style="50" customWidth="1"/>
    <col min="11259" max="11259" width="6.875" style="50" customWidth="1"/>
    <col min="11260" max="11271" width="6.125" style="50" customWidth="1"/>
    <col min="11272" max="11272" width="5.875" style="50" customWidth="1"/>
    <col min="11273" max="11280" width="6.125" style="50" customWidth="1"/>
    <col min="11281" max="11285" width="9" style="50" hidden="1" customWidth="1"/>
    <col min="11286" max="11510" width="9" style="50"/>
    <col min="11511" max="11511" width="8.625" style="50" customWidth="1"/>
    <col min="11512" max="11512" width="6.5" style="50" customWidth="1"/>
    <col min="11513" max="11513" width="9" style="50" hidden="1" customWidth="1"/>
    <col min="11514" max="11514" width="7.75" style="50" customWidth="1"/>
    <col min="11515" max="11515" width="6.875" style="50" customWidth="1"/>
    <col min="11516" max="11527" width="6.125" style="50" customWidth="1"/>
    <col min="11528" max="11528" width="5.875" style="50" customWidth="1"/>
    <col min="11529" max="11536" width="6.125" style="50" customWidth="1"/>
    <col min="11537" max="11541" width="9" style="50" hidden="1" customWidth="1"/>
    <col min="11542" max="11766" width="9" style="50"/>
    <col min="11767" max="11767" width="8.625" style="50" customWidth="1"/>
    <col min="11768" max="11768" width="6.5" style="50" customWidth="1"/>
    <col min="11769" max="11769" width="9" style="50" hidden="1" customWidth="1"/>
    <col min="11770" max="11770" width="7.75" style="50" customWidth="1"/>
    <col min="11771" max="11771" width="6.875" style="50" customWidth="1"/>
    <col min="11772" max="11783" width="6.125" style="50" customWidth="1"/>
    <col min="11784" max="11784" width="5.875" style="50" customWidth="1"/>
    <col min="11785" max="11792" width="6.125" style="50" customWidth="1"/>
    <col min="11793" max="11797" width="9" style="50" hidden="1" customWidth="1"/>
    <col min="11798" max="12022" width="9" style="50"/>
    <col min="12023" max="12023" width="8.625" style="50" customWidth="1"/>
    <col min="12024" max="12024" width="6.5" style="50" customWidth="1"/>
    <col min="12025" max="12025" width="9" style="50" hidden="1" customWidth="1"/>
    <col min="12026" max="12026" width="7.75" style="50" customWidth="1"/>
    <col min="12027" max="12027" width="6.875" style="50" customWidth="1"/>
    <col min="12028" max="12039" width="6.125" style="50" customWidth="1"/>
    <col min="12040" max="12040" width="5.875" style="50" customWidth="1"/>
    <col min="12041" max="12048" width="6.125" style="50" customWidth="1"/>
    <col min="12049" max="12053" width="9" style="50" hidden="1" customWidth="1"/>
    <col min="12054" max="12278" width="9" style="50"/>
    <col min="12279" max="12279" width="8.625" style="50" customWidth="1"/>
    <col min="12280" max="12280" width="6.5" style="50" customWidth="1"/>
    <col min="12281" max="12281" width="9" style="50" hidden="1" customWidth="1"/>
    <col min="12282" max="12282" width="7.75" style="50" customWidth="1"/>
    <col min="12283" max="12283" width="6.875" style="50" customWidth="1"/>
    <col min="12284" max="12295" width="6.125" style="50" customWidth="1"/>
    <col min="12296" max="12296" width="5.875" style="50" customWidth="1"/>
    <col min="12297" max="12304" width="6.125" style="50" customWidth="1"/>
    <col min="12305" max="12309" width="9" style="50" hidden="1" customWidth="1"/>
    <col min="12310" max="12534" width="9" style="50"/>
    <col min="12535" max="12535" width="8.625" style="50" customWidth="1"/>
    <col min="12536" max="12536" width="6.5" style="50" customWidth="1"/>
    <col min="12537" max="12537" width="9" style="50" hidden="1" customWidth="1"/>
    <col min="12538" max="12538" width="7.75" style="50" customWidth="1"/>
    <col min="12539" max="12539" width="6.875" style="50" customWidth="1"/>
    <col min="12540" max="12551" width="6.125" style="50" customWidth="1"/>
    <col min="12552" max="12552" width="5.875" style="50" customWidth="1"/>
    <col min="12553" max="12560" width="6.125" style="50" customWidth="1"/>
    <col min="12561" max="12565" width="9" style="50" hidden="1" customWidth="1"/>
    <col min="12566" max="12790" width="9" style="50"/>
    <col min="12791" max="12791" width="8.625" style="50" customWidth="1"/>
    <col min="12792" max="12792" width="6.5" style="50" customWidth="1"/>
    <col min="12793" max="12793" width="9" style="50" hidden="1" customWidth="1"/>
    <col min="12794" max="12794" width="7.75" style="50" customWidth="1"/>
    <col min="12795" max="12795" width="6.875" style="50" customWidth="1"/>
    <col min="12796" max="12807" width="6.125" style="50" customWidth="1"/>
    <col min="12808" max="12808" width="5.875" style="50" customWidth="1"/>
    <col min="12809" max="12816" width="6.125" style="50" customWidth="1"/>
    <col min="12817" max="12821" width="9" style="50" hidden="1" customWidth="1"/>
    <col min="12822" max="13046" width="9" style="50"/>
    <col min="13047" max="13047" width="8.625" style="50" customWidth="1"/>
    <col min="13048" max="13048" width="6.5" style="50" customWidth="1"/>
    <col min="13049" max="13049" width="9" style="50" hidden="1" customWidth="1"/>
    <col min="13050" max="13050" width="7.75" style="50" customWidth="1"/>
    <col min="13051" max="13051" width="6.875" style="50" customWidth="1"/>
    <col min="13052" max="13063" width="6.125" style="50" customWidth="1"/>
    <col min="13064" max="13064" width="5.875" style="50" customWidth="1"/>
    <col min="13065" max="13072" width="6.125" style="50" customWidth="1"/>
    <col min="13073" max="13077" width="9" style="50" hidden="1" customWidth="1"/>
    <col min="13078" max="13302" width="9" style="50"/>
    <col min="13303" max="13303" width="8.625" style="50" customWidth="1"/>
    <col min="13304" max="13304" width="6.5" style="50" customWidth="1"/>
    <col min="13305" max="13305" width="9" style="50" hidden="1" customWidth="1"/>
    <col min="13306" max="13306" width="7.75" style="50" customWidth="1"/>
    <col min="13307" max="13307" width="6.875" style="50" customWidth="1"/>
    <col min="13308" max="13319" width="6.125" style="50" customWidth="1"/>
    <col min="13320" max="13320" width="5.875" style="50" customWidth="1"/>
    <col min="13321" max="13328" width="6.125" style="50" customWidth="1"/>
    <col min="13329" max="13333" width="9" style="50" hidden="1" customWidth="1"/>
    <col min="13334" max="13558" width="9" style="50"/>
    <col min="13559" max="13559" width="8.625" style="50" customWidth="1"/>
    <col min="13560" max="13560" width="6.5" style="50" customWidth="1"/>
    <col min="13561" max="13561" width="9" style="50" hidden="1" customWidth="1"/>
    <col min="13562" max="13562" width="7.75" style="50" customWidth="1"/>
    <col min="13563" max="13563" width="6.875" style="50" customWidth="1"/>
    <col min="13564" max="13575" width="6.125" style="50" customWidth="1"/>
    <col min="13576" max="13576" width="5.875" style="50" customWidth="1"/>
    <col min="13577" max="13584" width="6.125" style="50" customWidth="1"/>
    <col min="13585" max="13589" width="9" style="50" hidden="1" customWidth="1"/>
    <col min="13590" max="13814" width="9" style="50"/>
    <col min="13815" max="13815" width="8.625" style="50" customWidth="1"/>
    <col min="13816" max="13816" width="6.5" style="50" customWidth="1"/>
    <col min="13817" max="13817" width="9" style="50" hidden="1" customWidth="1"/>
    <col min="13818" max="13818" width="7.75" style="50" customWidth="1"/>
    <col min="13819" max="13819" width="6.875" style="50" customWidth="1"/>
    <col min="13820" max="13831" width="6.125" style="50" customWidth="1"/>
    <col min="13832" max="13832" width="5.875" style="50" customWidth="1"/>
    <col min="13833" max="13840" width="6.125" style="50" customWidth="1"/>
    <col min="13841" max="13845" width="9" style="50" hidden="1" customWidth="1"/>
    <col min="13846" max="14070" width="9" style="50"/>
    <col min="14071" max="14071" width="8.625" style="50" customWidth="1"/>
    <col min="14072" max="14072" width="6.5" style="50" customWidth="1"/>
    <col min="14073" max="14073" width="9" style="50" hidden="1" customWidth="1"/>
    <col min="14074" max="14074" width="7.75" style="50" customWidth="1"/>
    <col min="14075" max="14075" width="6.875" style="50" customWidth="1"/>
    <col min="14076" max="14087" width="6.125" style="50" customWidth="1"/>
    <col min="14088" max="14088" width="5.875" style="50" customWidth="1"/>
    <col min="14089" max="14096" width="6.125" style="50" customWidth="1"/>
    <col min="14097" max="14101" width="9" style="50" hidden="1" customWidth="1"/>
    <col min="14102" max="14326" width="9" style="50"/>
    <col min="14327" max="14327" width="8.625" style="50" customWidth="1"/>
    <col min="14328" max="14328" width="6.5" style="50" customWidth="1"/>
    <col min="14329" max="14329" width="9" style="50" hidden="1" customWidth="1"/>
    <col min="14330" max="14330" width="7.75" style="50" customWidth="1"/>
    <col min="14331" max="14331" width="6.875" style="50" customWidth="1"/>
    <col min="14332" max="14343" width="6.125" style="50" customWidth="1"/>
    <col min="14344" max="14344" width="5.875" style="50" customWidth="1"/>
    <col min="14345" max="14352" width="6.125" style="50" customWidth="1"/>
    <col min="14353" max="14357" width="9" style="50" hidden="1" customWidth="1"/>
    <col min="14358" max="14582" width="9" style="50"/>
    <col min="14583" max="14583" width="8.625" style="50" customWidth="1"/>
    <col min="14584" max="14584" width="6.5" style="50" customWidth="1"/>
    <col min="14585" max="14585" width="9" style="50" hidden="1" customWidth="1"/>
    <col min="14586" max="14586" width="7.75" style="50" customWidth="1"/>
    <col min="14587" max="14587" width="6.875" style="50" customWidth="1"/>
    <col min="14588" max="14599" width="6.125" style="50" customWidth="1"/>
    <col min="14600" max="14600" width="5.875" style="50" customWidth="1"/>
    <col min="14601" max="14608" width="6.125" style="50" customWidth="1"/>
    <col min="14609" max="14613" width="9" style="50" hidden="1" customWidth="1"/>
    <col min="14614" max="14838" width="9" style="50"/>
    <col min="14839" max="14839" width="8.625" style="50" customWidth="1"/>
    <col min="14840" max="14840" width="6.5" style="50" customWidth="1"/>
    <col min="14841" max="14841" width="9" style="50" hidden="1" customWidth="1"/>
    <col min="14842" max="14842" width="7.75" style="50" customWidth="1"/>
    <col min="14843" max="14843" width="6.875" style="50" customWidth="1"/>
    <col min="14844" max="14855" width="6.125" style="50" customWidth="1"/>
    <col min="14856" max="14856" width="5.875" style="50" customWidth="1"/>
    <col min="14857" max="14864" width="6.125" style="50" customWidth="1"/>
    <col min="14865" max="14869" width="9" style="50" hidden="1" customWidth="1"/>
    <col min="14870" max="15094" width="9" style="50"/>
    <col min="15095" max="15095" width="8.625" style="50" customWidth="1"/>
    <col min="15096" max="15096" width="6.5" style="50" customWidth="1"/>
    <col min="15097" max="15097" width="9" style="50" hidden="1" customWidth="1"/>
    <col min="15098" max="15098" width="7.75" style="50" customWidth="1"/>
    <col min="15099" max="15099" width="6.875" style="50" customWidth="1"/>
    <col min="15100" max="15111" width="6.125" style="50" customWidth="1"/>
    <col min="15112" max="15112" width="5.875" style="50" customWidth="1"/>
    <col min="15113" max="15120" width="6.125" style="50" customWidth="1"/>
    <col min="15121" max="15125" width="9" style="50" hidden="1" customWidth="1"/>
    <col min="15126" max="15350" width="9" style="50"/>
    <col min="15351" max="15351" width="8.625" style="50" customWidth="1"/>
    <col min="15352" max="15352" width="6.5" style="50" customWidth="1"/>
    <col min="15353" max="15353" width="9" style="50" hidden="1" customWidth="1"/>
    <col min="15354" max="15354" width="7.75" style="50" customWidth="1"/>
    <col min="15355" max="15355" width="6.875" style="50" customWidth="1"/>
    <col min="15356" max="15367" width="6.125" style="50" customWidth="1"/>
    <col min="15368" max="15368" width="5.875" style="50" customWidth="1"/>
    <col min="15369" max="15376" width="6.125" style="50" customWidth="1"/>
    <col min="15377" max="15381" width="9" style="50" hidden="1" customWidth="1"/>
    <col min="15382" max="15606" width="9" style="50"/>
    <col min="15607" max="15607" width="8.625" style="50" customWidth="1"/>
    <col min="15608" max="15608" width="6.5" style="50" customWidth="1"/>
    <col min="15609" max="15609" width="9" style="50" hidden="1" customWidth="1"/>
    <col min="15610" max="15610" width="7.75" style="50" customWidth="1"/>
    <col min="15611" max="15611" width="6.875" style="50" customWidth="1"/>
    <col min="15612" max="15623" width="6.125" style="50" customWidth="1"/>
    <col min="15624" max="15624" width="5.875" style="50" customWidth="1"/>
    <col min="15625" max="15632" width="6.125" style="50" customWidth="1"/>
    <col min="15633" max="15637" width="9" style="50" hidden="1" customWidth="1"/>
    <col min="15638" max="15862" width="9" style="50"/>
    <col min="15863" max="15863" width="8.625" style="50" customWidth="1"/>
    <col min="15864" max="15864" width="6.5" style="50" customWidth="1"/>
    <col min="15865" max="15865" width="9" style="50" hidden="1" customWidth="1"/>
    <col min="15866" max="15866" width="7.75" style="50" customWidth="1"/>
    <col min="15867" max="15867" width="6.875" style="50" customWidth="1"/>
    <col min="15868" max="15879" width="6.125" style="50" customWidth="1"/>
    <col min="15880" max="15880" width="5.875" style="50" customWidth="1"/>
    <col min="15881" max="15888" width="6.125" style="50" customWidth="1"/>
    <col min="15889" max="15893" width="9" style="50" hidden="1" customWidth="1"/>
    <col min="15894" max="16118" width="9" style="50"/>
    <col min="16119" max="16119" width="8.625" style="50" customWidth="1"/>
    <col min="16120" max="16120" width="6.5" style="50" customWidth="1"/>
    <col min="16121" max="16121" width="9" style="50" hidden="1" customWidth="1"/>
    <col min="16122" max="16122" width="7.75" style="50" customWidth="1"/>
    <col min="16123" max="16123" width="6.875" style="50" customWidth="1"/>
    <col min="16124" max="16135" width="6.125" style="50" customWidth="1"/>
    <col min="16136" max="16136" width="5.875" style="50" customWidth="1"/>
    <col min="16137" max="16144" width="6.125" style="50" customWidth="1"/>
    <col min="16145" max="16149" width="9" style="50" hidden="1" customWidth="1"/>
    <col min="16150" max="16384" width="9" style="50"/>
  </cols>
  <sheetData>
    <row r="1" s="15" customFormat="1" ht="29.25" customHeight="1" spans="1:20">
      <c r="A1" s="17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38" t="s">
        <v>0</v>
      </c>
    </row>
    <row r="2" ht="23.25" customHeight="1" spans="1:20">
      <c r="A2" s="51" t="s">
        <v>248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customHeight="1" spans="1:19">
      <c r="A3" s="52"/>
      <c r="B3" s="53"/>
      <c r="C3" s="52"/>
      <c r="D3" s="54"/>
      <c r="E3" s="55"/>
      <c r="F3" s="55"/>
      <c r="G3" s="55"/>
      <c r="H3" s="55"/>
      <c r="I3" s="55"/>
      <c r="J3" s="55"/>
      <c r="K3" s="55"/>
      <c r="L3" s="55"/>
      <c r="M3" s="84"/>
      <c r="N3" s="84"/>
      <c r="O3" s="84"/>
      <c r="P3" s="84"/>
      <c r="Q3" s="84"/>
      <c r="R3" s="84"/>
      <c r="S3" s="84"/>
    </row>
    <row r="4" ht="37.5" customHeight="1" spans="1:20">
      <c r="A4" s="56" t="s">
        <v>152</v>
      </c>
      <c r="B4" s="57"/>
      <c r="C4" s="58" t="s">
        <v>249</v>
      </c>
      <c r="D4" s="59"/>
      <c r="E4" s="59"/>
      <c r="F4" s="60"/>
      <c r="G4" s="60"/>
      <c r="H4" s="60"/>
      <c r="I4" s="60"/>
      <c r="J4" s="60"/>
      <c r="K4" s="60"/>
      <c r="L4" s="60"/>
      <c r="M4" s="85"/>
      <c r="N4" s="86" t="s">
        <v>250</v>
      </c>
      <c r="O4" s="86"/>
      <c r="P4" s="86"/>
      <c r="Q4" s="86"/>
      <c r="R4" s="86"/>
      <c r="S4" s="86"/>
      <c r="T4" s="94"/>
    </row>
    <row r="5" s="42" customFormat="1" ht="24.75" customHeight="1" spans="1:20">
      <c r="A5" s="61" t="s">
        <v>27</v>
      </c>
      <c r="B5" s="61" t="s">
        <v>40</v>
      </c>
      <c r="C5" s="62" t="s">
        <v>251</v>
      </c>
      <c r="D5" s="63" t="s">
        <v>210</v>
      </c>
      <c r="E5" s="64" t="s">
        <v>252</v>
      </c>
      <c r="F5" s="65" t="s">
        <v>215</v>
      </c>
      <c r="G5" s="65" t="s">
        <v>253</v>
      </c>
      <c r="H5" s="65" t="s">
        <v>254</v>
      </c>
      <c r="I5" s="65" t="s">
        <v>211</v>
      </c>
      <c r="J5" s="65" t="s">
        <v>216</v>
      </c>
      <c r="K5" s="65" t="s">
        <v>255</v>
      </c>
      <c r="L5" s="65" t="s">
        <v>256</v>
      </c>
      <c r="M5" s="87" t="s">
        <v>20</v>
      </c>
      <c r="N5" s="64" t="s">
        <v>257</v>
      </c>
      <c r="O5" s="65" t="s">
        <v>258</v>
      </c>
      <c r="P5" s="65" t="s">
        <v>259</v>
      </c>
      <c r="Q5" s="64" t="s">
        <v>260</v>
      </c>
      <c r="R5" s="64" t="s">
        <v>261</v>
      </c>
      <c r="S5" s="65" t="s">
        <v>262</v>
      </c>
      <c r="T5" s="87" t="s">
        <v>20</v>
      </c>
    </row>
    <row r="6" s="43" customFormat="1" ht="26.25" customHeight="1" spans="1:20">
      <c r="A6" s="66"/>
      <c r="B6" s="66"/>
      <c r="C6" s="67" t="s">
        <v>263</v>
      </c>
      <c r="D6" s="68"/>
      <c r="E6" s="69"/>
      <c r="F6" s="70"/>
      <c r="G6" s="70"/>
      <c r="H6" s="70"/>
      <c r="I6" s="70"/>
      <c r="J6" s="70"/>
      <c r="K6" s="70"/>
      <c r="L6" s="70"/>
      <c r="M6" s="88"/>
      <c r="N6" s="89"/>
      <c r="O6" s="70"/>
      <c r="P6" s="70"/>
      <c r="Q6" s="89"/>
      <c r="R6" s="89"/>
      <c r="S6" s="70"/>
      <c r="T6" s="88"/>
    </row>
    <row r="7" ht="33" customHeight="1" spans="1:20">
      <c r="A7" s="71">
        <f>试算!B3</f>
        <v>256</v>
      </c>
      <c r="B7" s="72">
        <f>试算!B8</f>
        <v>119.466666666667</v>
      </c>
      <c r="C7" s="73">
        <f>[1]单位面积月费用分析!E29</f>
        <v>0.32666674308422</v>
      </c>
      <c r="D7" s="74">
        <f>架构!F35</f>
        <v>116900</v>
      </c>
      <c r="E7" s="75">
        <f>盈亏分析!B14</f>
        <v>20480</v>
      </c>
      <c r="F7" s="76">
        <f>盈亏分析!B15</f>
        <v>10240</v>
      </c>
      <c r="G7" s="76">
        <f>盈亏分析!B16</f>
        <v>12800</v>
      </c>
      <c r="H7" s="76">
        <f>盈亏分析!B17</f>
        <v>1000</v>
      </c>
      <c r="I7" s="76">
        <f>盈亏分析!B18</f>
        <v>2000</v>
      </c>
      <c r="J7" s="76">
        <f>盈亏分析!B20</f>
        <v>26666.6666666667</v>
      </c>
      <c r="K7" s="76">
        <f>盈亏分析!B21</f>
        <v>28266.6666666667</v>
      </c>
      <c r="L7" s="76">
        <v>10000</v>
      </c>
      <c r="M7" s="90">
        <f>SUM(D7:L7)</f>
        <v>228353.333333333</v>
      </c>
      <c r="N7" s="91">
        <v>0.3</v>
      </c>
      <c r="O7" s="92">
        <v>0.0568</v>
      </c>
      <c r="P7" s="92">
        <v>0.1</v>
      </c>
      <c r="Q7" s="91">
        <v>0.05</v>
      </c>
      <c r="R7" s="95">
        <v>0.03</v>
      </c>
      <c r="S7" s="96">
        <v>0.03</v>
      </c>
      <c r="T7" s="97">
        <f>SUM(N7:S7)</f>
        <v>0.5668</v>
      </c>
    </row>
    <row r="8" s="44" customFormat="1" ht="22.5" customHeight="1"/>
    <row r="9" s="45" customFormat="1" ht="20.25" customHeight="1" spans="20:20">
      <c r="T9" s="98"/>
    </row>
    <row r="10" customHeight="1" spans="20:20">
      <c r="T10" s="93"/>
    </row>
    <row r="11" hidden="1" customHeight="1" spans="1:20">
      <c r="A11" s="77" t="s">
        <v>228</v>
      </c>
      <c r="B11" s="78"/>
      <c r="C11" s="79"/>
      <c r="D11" s="80"/>
      <c r="E11" s="81"/>
      <c r="F11" s="81"/>
      <c r="G11" s="81"/>
      <c r="H11" s="81"/>
      <c r="I11" s="81"/>
      <c r="J11" s="81"/>
      <c r="K11" s="81"/>
      <c r="L11" s="81"/>
      <c r="M11" s="93"/>
      <c r="N11" s="93"/>
      <c r="O11" s="93"/>
      <c r="P11" s="93"/>
      <c r="Q11" s="93"/>
      <c r="R11" s="93"/>
      <c r="S11" s="93"/>
      <c r="T11" s="93"/>
    </row>
    <row r="12" customHeight="1" spans="1:20">
      <c r="A12" s="79"/>
      <c r="B12" s="78"/>
      <c r="C12" s="79"/>
      <c r="D12" s="80"/>
      <c r="E12" s="82"/>
      <c r="F12" s="82"/>
      <c r="G12" s="82"/>
      <c r="H12" s="82"/>
      <c r="I12" s="82"/>
      <c r="J12" s="82"/>
      <c r="K12" s="82"/>
      <c r="L12" s="82"/>
      <c r="M12" s="93"/>
      <c r="N12" s="93"/>
      <c r="O12" s="93"/>
      <c r="P12" s="93"/>
      <c r="Q12" s="93"/>
      <c r="R12" s="93"/>
      <c r="S12" s="93"/>
      <c r="T12" s="93"/>
    </row>
    <row r="13" customHeight="1" spans="1:20">
      <c r="A13" s="79"/>
      <c r="B13" s="78"/>
      <c r="C13" s="79"/>
      <c r="D13" s="80"/>
      <c r="E13" s="83"/>
      <c r="F13" s="83"/>
      <c r="G13" s="83"/>
      <c r="H13" s="83"/>
      <c r="I13" s="83"/>
      <c r="J13" s="83"/>
      <c r="K13" s="83"/>
      <c r="L13" s="83"/>
      <c r="M13" s="93"/>
      <c r="N13" s="93"/>
      <c r="O13" s="93"/>
      <c r="P13" s="93"/>
      <c r="Q13" s="93"/>
      <c r="R13" s="93"/>
      <c r="S13" s="93"/>
      <c r="T13" s="93"/>
    </row>
    <row r="14" customHeight="1" spans="1:20">
      <c r="A14" s="79"/>
      <c r="B14" s="78"/>
      <c r="C14" s="79"/>
      <c r="D14" s="80"/>
      <c r="E14" s="82"/>
      <c r="F14" s="82"/>
      <c r="G14" s="82"/>
      <c r="H14" s="82"/>
      <c r="I14" s="82"/>
      <c r="J14" s="82"/>
      <c r="K14" s="82"/>
      <c r="L14" s="82"/>
      <c r="M14" s="93"/>
      <c r="N14" s="93"/>
      <c r="O14" s="93"/>
      <c r="P14" s="93"/>
      <c r="Q14" s="93"/>
      <c r="R14" s="93"/>
      <c r="S14" s="93"/>
      <c r="T14" s="93"/>
    </row>
    <row r="15" customHeight="1" spans="1:20">
      <c r="A15" s="79"/>
      <c r="B15" s="78"/>
      <c r="C15" s="79"/>
      <c r="D15" s="80"/>
      <c r="E15" s="82"/>
      <c r="F15" s="82"/>
      <c r="G15" s="82"/>
      <c r="H15" s="82"/>
      <c r="I15" s="82"/>
      <c r="J15" s="82"/>
      <c r="K15" s="82"/>
      <c r="L15" s="82"/>
      <c r="M15" s="93"/>
      <c r="N15" s="93"/>
      <c r="O15" s="93"/>
      <c r="P15" s="93"/>
      <c r="Q15" s="93"/>
      <c r="R15" s="93"/>
      <c r="S15" s="93"/>
      <c r="T15" s="93"/>
    </row>
    <row r="16" customHeight="1" spans="1:20">
      <c r="A16" s="79"/>
      <c r="B16" s="78"/>
      <c r="C16" s="79"/>
      <c r="D16" s="80"/>
      <c r="E16" s="82"/>
      <c r="F16" s="82"/>
      <c r="G16" s="82"/>
      <c r="H16" s="82"/>
      <c r="I16" s="82"/>
      <c r="J16" s="82"/>
      <c r="K16" s="82"/>
      <c r="L16" s="82"/>
      <c r="M16" s="93"/>
      <c r="N16" s="93"/>
      <c r="O16" s="93"/>
      <c r="P16" s="93"/>
      <c r="Q16" s="93"/>
      <c r="R16" s="93"/>
      <c r="S16" s="93"/>
      <c r="T16" s="93"/>
    </row>
    <row r="17" customHeight="1" spans="1:20">
      <c r="A17" s="79"/>
      <c r="B17" s="78"/>
      <c r="C17" s="79"/>
      <c r="D17" s="80"/>
      <c r="E17" s="82"/>
      <c r="F17" s="82"/>
      <c r="G17" s="82"/>
      <c r="H17" s="82"/>
      <c r="I17" s="82"/>
      <c r="J17" s="82"/>
      <c r="K17" s="82"/>
      <c r="L17" s="82"/>
      <c r="M17" s="93"/>
      <c r="N17" s="93"/>
      <c r="O17" s="93"/>
      <c r="P17" s="93"/>
      <c r="Q17" s="93"/>
      <c r="R17" s="93"/>
      <c r="S17" s="93"/>
      <c r="T17" s="93"/>
    </row>
    <row r="18" customHeight="1" spans="1:20">
      <c r="A18" s="79"/>
      <c r="B18" s="78"/>
      <c r="C18" s="79"/>
      <c r="D18" s="80"/>
      <c r="E18" s="82"/>
      <c r="F18" s="82"/>
      <c r="G18" s="82"/>
      <c r="H18" s="82"/>
      <c r="I18" s="82"/>
      <c r="J18" s="82"/>
      <c r="K18" s="82"/>
      <c r="L18" s="82"/>
      <c r="M18" s="93"/>
      <c r="N18" s="93"/>
      <c r="O18" s="93"/>
      <c r="P18" s="93"/>
      <c r="Q18" s="93"/>
      <c r="R18" s="93"/>
      <c r="S18" s="93"/>
      <c r="T18" s="93"/>
    </row>
    <row r="19" customHeight="1" spans="1:20">
      <c r="A19" s="79"/>
      <c r="B19" s="78"/>
      <c r="C19" s="79"/>
      <c r="D19" s="80"/>
      <c r="E19" s="82"/>
      <c r="F19" s="82"/>
      <c r="G19" s="82"/>
      <c r="H19" s="82"/>
      <c r="I19" s="82"/>
      <c r="J19" s="82"/>
      <c r="K19" s="82"/>
      <c r="L19" s="82"/>
      <c r="M19" s="93"/>
      <c r="N19" s="93"/>
      <c r="O19" s="93"/>
      <c r="P19" s="93"/>
      <c r="Q19" s="93"/>
      <c r="R19" s="93"/>
      <c r="S19" s="93"/>
      <c r="T19" s="93"/>
    </row>
    <row r="20" customHeight="1" spans="1:20">
      <c r="A20" s="79"/>
      <c r="B20" s="78"/>
      <c r="C20" s="79"/>
      <c r="D20" s="80"/>
      <c r="E20" s="82"/>
      <c r="F20" s="82"/>
      <c r="G20" s="82"/>
      <c r="H20" s="82"/>
      <c r="I20" s="82"/>
      <c r="J20" s="82"/>
      <c r="K20" s="82"/>
      <c r="L20" s="82"/>
      <c r="M20" s="93"/>
      <c r="N20" s="93"/>
      <c r="O20" s="93"/>
      <c r="P20" s="93"/>
      <c r="Q20" s="93"/>
      <c r="R20" s="93"/>
      <c r="S20" s="93"/>
      <c r="T20" s="93"/>
    </row>
    <row r="21" customHeight="1" spans="1:20">
      <c r="A21" s="79"/>
      <c r="B21" s="78"/>
      <c r="C21" s="79"/>
      <c r="D21" s="80"/>
      <c r="E21" s="82"/>
      <c r="F21" s="82"/>
      <c r="G21" s="82"/>
      <c r="H21" s="82"/>
      <c r="I21" s="82"/>
      <c r="J21" s="82"/>
      <c r="K21" s="82"/>
      <c r="L21" s="82"/>
      <c r="M21" s="93"/>
      <c r="N21" s="93"/>
      <c r="O21" s="93"/>
      <c r="P21" s="93"/>
      <c r="Q21" s="93"/>
      <c r="R21" s="93"/>
      <c r="S21" s="93"/>
      <c r="T21" s="93"/>
    </row>
    <row r="22" customHeight="1" spans="1:20">
      <c r="A22" s="79"/>
      <c r="B22" s="78"/>
      <c r="C22" s="79"/>
      <c r="D22" s="80"/>
      <c r="E22" s="82"/>
      <c r="F22" s="82"/>
      <c r="G22" s="82"/>
      <c r="H22" s="82"/>
      <c r="I22" s="82"/>
      <c r="J22" s="82"/>
      <c r="K22" s="82"/>
      <c r="L22" s="82"/>
      <c r="M22" s="93"/>
      <c r="N22" s="93"/>
      <c r="O22" s="93"/>
      <c r="P22" s="93"/>
      <c r="Q22" s="93"/>
      <c r="R22" s="93"/>
      <c r="S22" s="93"/>
      <c r="T22" s="93"/>
    </row>
    <row r="23" customHeight="1" spans="1:20">
      <c r="A23" s="79"/>
      <c r="B23" s="78"/>
      <c r="C23" s="79"/>
      <c r="D23" s="80"/>
      <c r="E23" s="82"/>
      <c r="F23" s="82"/>
      <c r="G23" s="82"/>
      <c r="H23" s="82"/>
      <c r="I23" s="82"/>
      <c r="J23" s="82"/>
      <c r="K23" s="82"/>
      <c r="L23" s="82"/>
      <c r="M23" s="93"/>
      <c r="N23" s="93"/>
      <c r="O23" s="93"/>
      <c r="P23" s="93"/>
      <c r="Q23" s="93"/>
      <c r="R23" s="93"/>
      <c r="S23" s="93"/>
      <c r="T23" s="93"/>
    </row>
    <row r="24" customHeight="1" spans="1:20">
      <c r="A24" s="79"/>
      <c r="B24" s="78"/>
      <c r="C24" s="79"/>
      <c r="D24" s="80"/>
      <c r="E24" s="82"/>
      <c r="F24" s="82"/>
      <c r="G24" s="82"/>
      <c r="H24" s="82"/>
      <c r="I24" s="82"/>
      <c r="J24" s="82"/>
      <c r="K24" s="82"/>
      <c r="L24" s="82"/>
      <c r="M24" s="93"/>
      <c r="N24" s="93"/>
      <c r="O24" s="93"/>
      <c r="P24" s="93"/>
      <c r="Q24" s="93"/>
      <c r="R24" s="93"/>
      <c r="S24" s="93"/>
      <c r="T24" s="93"/>
    </row>
    <row r="25" customHeight="1" spans="1:20">
      <c r="A25" s="79"/>
      <c r="B25" s="78"/>
      <c r="C25" s="79"/>
      <c r="D25" s="80"/>
      <c r="E25" s="82"/>
      <c r="F25" s="82"/>
      <c r="G25" s="82"/>
      <c r="H25" s="82"/>
      <c r="I25" s="82"/>
      <c r="J25" s="82"/>
      <c r="K25" s="82"/>
      <c r="L25" s="82"/>
      <c r="M25" s="93"/>
      <c r="N25" s="93"/>
      <c r="O25" s="93"/>
      <c r="P25" s="93"/>
      <c r="Q25" s="93"/>
      <c r="R25" s="93"/>
      <c r="S25" s="93"/>
      <c r="T25" s="93"/>
    </row>
    <row r="26" customHeight="1" spans="1:20">
      <c r="A26" s="79"/>
      <c r="B26" s="78"/>
      <c r="C26" s="79"/>
      <c r="D26" s="80"/>
      <c r="E26" s="82"/>
      <c r="F26" s="82"/>
      <c r="G26" s="82"/>
      <c r="H26" s="82"/>
      <c r="I26" s="82"/>
      <c r="J26" s="82"/>
      <c r="K26" s="82"/>
      <c r="L26" s="82"/>
      <c r="M26" s="93"/>
      <c r="N26" s="93"/>
      <c r="O26" s="93"/>
      <c r="P26" s="93"/>
      <c r="Q26" s="93"/>
      <c r="R26" s="93"/>
      <c r="S26" s="93"/>
      <c r="T26" s="93"/>
    </row>
    <row r="27" customHeight="1" spans="1:20">
      <c r="A27" s="79"/>
      <c r="B27" s="78"/>
      <c r="C27" s="79"/>
      <c r="D27" s="80"/>
      <c r="E27" s="82"/>
      <c r="F27" s="82"/>
      <c r="G27" s="82"/>
      <c r="H27" s="82"/>
      <c r="I27" s="82"/>
      <c r="J27" s="82"/>
      <c r="K27" s="82"/>
      <c r="L27" s="82"/>
      <c r="M27" s="93"/>
      <c r="N27" s="93"/>
      <c r="O27" s="93"/>
      <c r="P27" s="93"/>
      <c r="Q27" s="93"/>
      <c r="R27" s="93"/>
      <c r="S27" s="93"/>
      <c r="T27" s="93"/>
    </row>
    <row r="28" customHeight="1" spans="1:20">
      <c r="A28" s="79"/>
      <c r="B28" s="78"/>
      <c r="C28" s="79"/>
      <c r="D28" s="80"/>
      <c r="E28" s="82"/>
      <c r="F28" s="82"/>
      <c r="G28" s="82"/>
      <c r="H28" s="82"/>
      <c r="I28" s="82"/>
      <c r="J28" s="82"/>
      <c r="K28" s="82"/>
      <c r="L28" s="82"/>
      <c r="M28" s="93"/>
      <c r="N28" s="93"/>
      <c r="O28" s="93"/>
      <c r="P28" s="93"/>
      <c r="Q28" s="93"/>
      <c r="R28" s="93"/>
      <c r="S28" s="93"/>
      <c r="T28" s="93"/>
    </row>
    <row r="29" customHeight="1" spans="1:20">
      <c r="A29" s="79"/>
      <c r="B29" s="78"/>
      <c r="C29" s="79"/>
      <c r="D29" s="80"/>
      <c r="E29" s="82"/>
      <c r="F29" s="82"/>
      <c r="G29" s="82"/>
      <c r="H29" s="82"/>
      <c r="I29" s="82"/>
      <c r="J29" s="82"/>
      <c r="K29" s="82"/>
      <c r="L29" s="82"/>
      <c r="M29" s="93"/>
      <c r="N29" s="93"/>
      <c r="O29" s="93"/>
      <c r="P29" s="93"/>
      <c r="Q29" s="93"/>
      <c r="R29" s="93"/>
      <c r="S29" s="93"/>
      <c r="T29" s="93"/>
    </row>
    <row r="30" customHeight="1" spans="1:20">
      <c r="A30" s="79"/>
      <c r="B30" s="78"/>
      <c r="C30" s="79"/>
      <c r="D30" s="80"/>
      <c r="E30" s="82"/>
      <c r="F30" s="82"/>
      <c r="G30" s="82"/>
      <c r="H30" s="82"/>
      <c r="I30" s="82"/>
      <c r="J30" s="82"/>
      <c r="K30" s="82"/>
      <c r="L30" s="82"/>
      <c r="M30" s="93"/>
      <c r="N30" s="93"/>
      <c r="O30" s="93"/>
      <c r="P30" s="93"/>
      <c r="Q30" s="93"/>
      <c r="R30" s="93"/>
      <c r="S30" s="93"/>
      <c r="T30" s="93"/>
    </row>
    <row r="31" customHeight="1" spans="1:20">
      <c r="A31" s="79"/>
      <c r="B31" s="78"/>
      <c r="C31" s="79"/>
      <c r="D31" s="80"/>
      <c r="E31" s="82"/>
      <c r="F31" s="82"/>
      <c r="G31" s="82"/>
      <c r="H31" s="82"/>
      <c r="I31" s="82"/>
      <c r="J31" s="82"/>
      <c r="K31" s="82"/>
      <c r="L31" s="82"/>
      <c r="M31" s="93"/>
      <c r="N31" s="93"/>
      <c r="O31" s="93"/>
      <c r="P31" s="93"/>
      <c r="Q31" s="93"/>
      <c r="R31" s="93"/>
      <c r="S31" s="93"/>
      <c r="T31" s="93"/>
    </row>
    <row r="32" customHeight="1" spans="1:20">
      <c r="A32" s="79"/>
      <c r="B32" s="78"/>
      <c r="C32" s="79"/>
      <c r="D32" s="80"/>
      <c r="E32" s="82"/>
      <c r="F32" s="82"/>
      <c r="G32" s="82"/>
      <c r="H32" s="82"/>
      <c r="I32" s="82"/>
      <c r="J32" s="82"/>
      <c r="K32" s="82"/>
      <c r="L32" s="82"/>
      <c r="M32" s="93"/>
      <c r="N32" s="93"/>
      <c r="O32" s="93"/>
      <c r="P32" s="93"/>
      <c r="Q32" s="93"/>
      <c r="R32" s="93"/>
      <c r="S32" s="93"/>
      <c r="T32" s="93"/>
    </row>
    <row r="33" customHeight="1" spans="1:20">
      <c r="A33" s="79"/>
      <c r="B33" s="78"/>
      <c r="C33" s="79"/>
      <c r="D33" s="80"/>
      <c r="E33" s="82"/>
      <c r="F33" s="82"/>
      <c r="G33" s="82"/>
      <c r="H33" s="82"/>
      <c r="I33" s="82"/>
      <c r="J33" s="82"/>
      <c r="K33" s="82"/>
      <c r="L33" s="82"/>
      <c r="M33" s="93"/>
      <c r="N33" s="93"/>
      <c r="O33" s="93"/>
      <c r="P33" s="93"/>
      <c r="Q33" s="93"/>
      <c r="R33" s="93"/>
      <c r="S33" s="93"/>
      <c r="T33" s="93"/>
    </row>
    <row r="34" customHeight="1" spans="1:20">
      <c r="A34" s="79"/>
      <c r="B34" s="78"/>
      <c r="C34" s="79"/>
      <c r="D34" s="80"/>
      <c r="E34" s="82"/>
      <c r="F34" s="82"/>
      <c r="G34" s="82"/>
      <c r="H34" s="82"/>
      <c r="I34" s="82"/>
      <c r="J34" s="82"/>
      <c r="K34" s="82"/>
      <c r="L34" s="82"/>
      <c r="M34" s="93"/>
      <c r="N34" s="93"/>
      <c r="O34" s="93"/>
      <c r="P34" s="93"/>
      <c r="Q34" s="93"/>
      <c r="R34" s="93"/>
      <c r="S34" s="93"/>
      <c r="T34" s="93"/>
    </row>
    <row r="35" customHeight="1" spans="1:20">
      <c r="A35" s="79"/>
      <c r="B35" s="78"/>
      <c r="C35" s="79"/>
      <c r="D35" s="80"/>
      <c r="E35" s="82"/>
      <c r="F35" s="82"/>
      <c r="G35" s="82"/>
      <c r="H35" s="82"/>
      <c r="I35" s="82"/>
      <c r="J35" s="82"/>
      <c r="K35" s="82"/>
      <c r="L35" s="82"/>
      <c r="M35" s="93"/>
      <c r="N35" s="93"/>
      <c r="O35" s="93"/>
      <c r="P35" s="93"/>
      <c r="Q35" s="93"/>
      <c r="R35" s="93"/>
      <c r="S35" s="93"/>
      <c r="T35" s="93"/>
    </row>
    <row r="36" customHeight="1" spans="1:20">
      <c r="A36" s="79"/>
      <c r="B36" s="78"/>
      <c r="C36" s="79"/>
      <c r="D36" s="80"/>
      <c r="E36" s="82"/>
      <c r="F36" s="82"/>
      <c r="G36" s="82"/>
      <c r="H36" s="82"/>
      <c r="I36" s="82"/>
      <c r="J36" s="82"/>
      <c r="K36" s="82"/>
      <c r="L36" s="82"/>
      <c r="M36" s="93"/>
      <c r="N36" s="93"/>
      <c r="O36" s="93"/>
      <c r="P36" s="93"/>
      <c r="Q36" s="93"/>
      <c r="R36" s="93"/>
      <c r="S36" s="93"/>
      <c r="T36" s="93"/>
    </row>
    <row r="37" customHeight="1" spans="1:20">
      <c r="A37" s="79"/>
      <c r="B37" s="78"/>
      <c r="C37" s="79"/>
      <c r="D37" s="80"/>
      <c r="E37" s="82"/>
      <c r="F37" s="82"/>
      <c r="G37" s="82"/>
      <c r="H37" s="82"/>
      <c r="I37" s="82"/>
      <c r="J37" s="82"/>
      <c r="K37" s="82"/>
      <c r="L37" s="82"/>
      <c r="M37" s="93"/>
      <c r="N37" s="93"/>
      <c r="O37" s="93"/>
      <c r="P37" s="93"/>
      <c r="Q37" s="93"/>
      <c r="R37" s="93"/>
      <c r="S37" s="93"/>
      <c r="T37" s="93"/>
    </row>
    <row r="38" customHeight="1" spans="1:20">
      <c r="A38" s="79"/>
      <c r="B38" s="78"/>
      <c r="C38" s="79"/>
      <c r="D38" s="80"/>
      <c r="E38" s="82"/>
      <c r="F38" s="82"/>
      <c r="G38" s="82"/>
      <c r="H38" s="82"/>
      <c r="I38" s="82"/>
      <c r="J38" s="82"/>
      <c r="K38" s="82"/>
      <c r="L38" s="82"/>
      <c r="M38" s="93"/>
      <c r="N38" s="93"/>
      <c r="O38" s="93"/>
      <c r="P38" s="93"/>
      <c r="Q38" s="93"/>
      <c r="R38" s="93"/>
      <c r="S38" s="93"/>
      <c r="T38" s="93"/>
    </row>
    <row r="39" customHeight="1" spans="1:20">
      <c r="A39" s="79"/>
      <c r="B39" s="78"/>
      <c r="C39" s="79"/>
      <c r="D39" s="80"/>
      <c r="E39" s="82"/>
      <c r="F39" s="82"/>
      <c r="G39" s="82"/>
      <c r="H39" s="82"/>
      <c r="I39" s="82"/>
      <c r="J39" s="82"/>
      <c r="K39" s="82"/>
      <c r="L39" s="82"/>
      <c r="M39" s="93"/>
      <c r="N39" s="93"/>
      <c r="O39" s="93"/>
      <c r="P39" s="93"/>
      <c r="Q39" s="93"/>
      <c r="R39" s="93"/>
      <c r="S39" s="93"/>
      <c r="T39" s="93"/>
    </row>
    <row r="40" customHeight="1" spans="1:20">
      <c r="A40" s="79"/>
      <c r="B40" s="78"/>
      <c r="C40" s="79"/>
      <c r="D40" s="80"/>
      <c r="E40" s="82"/>
      <c r="F40" s="82"/>
      <c r="G40" s="82"/>
      <c r="H40" s="82"/>
      <c r="I40" s="82"/>
      <c r="J40" s="82"/>
      <c r="K40" s="82"/>
      <c r="L40" s="82"/>
      <c r="M40" s="93"/>
      <c r="N40" s="93"/>
      <c r="O40" s="93"/>
      <c r="P40" s="93"/>
      <c r="Q40" s="93"/>
      <c r="R40" s="93"/>
      <c r="S40" s="93"/>
      <c r="T40" s="93"/>
    </row>
    <row r="41" customHeight="1" spans="1:20">
      <c r="A41" s="79"/>
      <c r="B41" s="78"/>
      <c r="C41" s="79"/>
      <c r="D41" s="80"/>
      <c r="E41" s="82"/>
      <c r="F41" s="82"/>
      <c r="G41" s="82"/>
      <c r="H41" s="82"/>
      <c r="I41" s="82"/>
      <c r="J41" s="82"/>
      <c r="K41" s="82"/>
      <c r="L41" s="82"/>
      <c r="M41" s="93"/>
      <c r="N41" s="93"/>
      <c r="O41" s="93"/>
      <c r="P41" s="93"/>
      <c r="Q41" s="93"/>
      <c r="R41" s="93"/>
      <c r="S41" s="93"/>
      <c r="T41" s="93"/>
    </row>
    <row r="42" customHeight="1" spans="1:20">
      <c r="A42" s="79"/>
      <c r="B42" s="78"/>
      <c r="C42" s="79"/>
      <c r="D42" s="80"/>
      <c r="E42" s="82"/>
      <c r="F42" s="82"/>
      <c r="G42" s="82"/>
      <c r="H42" s="82"/>
      <c r="I42" s="82"/>
      <c r="J42" s="82"/>
      <c r="K42" s="82"/>
      <c r="L42" s="82"/>
      <c r="M42" s="93"/>
      <c r="N42" s="93"/>
      <c r="O42" s="93"/>
      <c r="P42" s="93"/>
      <c r="Q42" s="93"/>
      <c r="R42" s="93"/>
      <c r="S42" s="93"/>
      <c r="T42" s="93"/>
    </row>
  </sheetData>
  <mergeCells count="23">
    <mergeCell ref="A2:T2"/>
    <mergeCell ref="A4:B4"/>
    <mergeCell ref="C4:M4"/>
    <mergeCell ref="N4:T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rintOptions horizontalCentered="1"/>
  <pageMargins left="0" right="0" top="0.354166666666667" bottom="0" header="0.393055555555556" footer="0"/>
  <pageSetup paperSize="9" scale="80" firstPageNumber="4294963191" orientation="landscape" useFirstPageNumber="1" horizontalDpi="360" verticalDpi="36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5" sqref="D5"/>
    </sheetView>
  </sheetViews>
  <sheetFormatPr defaultColWidth="9" defaultRowHeight="14.25" outlineLevelRow="7"/>
  <cols>
    <col min="1" max="2" width="9" style="16"/>
    <col min="3" max="3" width="12.125" style="16" customWidth="1"/>
    <col min="4" max="4" width="13.25" style="16" customWidth="1"/>
    <col min="5" max="5" width="14" style="16" customWidth="1"/>
    <col min="6" max="8" width="13" style="16" customWidth="1"/>
    <col min="9" max="9" width="16.5" style="16" customWidth="1"/>
    <col min="10" max="16384" width="9" style="16"/>
  </cols>
  <sheetData>
    <row r="1" s="15" customFormat="1" ht="37.5" customHeight="1" spans="1:9">
      <c r="A1" s="17"/>
      <c r="B1" s="17"/>
      <c r="C1" s="18"/>
      <c r="D1" s="19"/>
      <c r="E1" s="19"/>
      <c r="F1" s="19"/>
      <c r="G1" s="19"/>
      <c r="H1" s="19"/>
      <c r="I1" s="38" t="s">
        <v>0</v>
      </c>
    </row>
    <row r="2" s="15" customFormat="1" ht="32.25" customHeight="1" spans="1:9">
      <c r="A2" s="20" t="s">
        <v>264</v>
      </c>
      <c r="B2" s="20"/>
      <c r="C2" s="20"/>
      <c r="D2" s="20"/>
      <c r="E2" s="20"/>
      <c r="F2" s="20"/>
      <c r="G2" s="20"/>
      <c r="H2" s="20"/>
      <c r="I2" s="20"/>
    </row>
    <row r="3" ht="15"/>
    <row r="4" ht="32.25" customHeight="1" spans="1:9">
      <c r="A4" s="21" t="s">
        <v>152</v>
      </c>
      <c r="B4" s="22"/>
      <c r="C4" s="23" t="s">
        <v>40</v>
      </c>
      <c r="D4" s="24" t="s">
        <v>265</v>
      </c>
      <c r="E4" s="24" t="s">
        <v>266</v>
      </c>
      <c r="F4" s="25" t="s">
        <v>233</v>
      </c>
      <c r="G4" s="25" t="s">
        <v>234</v>
      </c>
      <c r="H4" s="26" t="s">
        <v>267</v>
      </c>
      <c r="I4" s="39" t="s">
        <v>268</v>
      </c>
    </row>
    <row r="5" ht="32.25" customHeight="1" spans="1:9">
      <c r="A5" s="27" t="s">
        <v>238</v>
      </c>
      <c r="B5" s="28"/>
      <c r="C5" s="29"/>
      <c r="D5" s="29" t="s">
        <v>239</v>
      </c>
      <c r="E5" s="30" t="s">
        <v>240</v>
      </c>
      <c r="F5" s="30" t="s">
        <v>241</v>
      </c>
      <c r="G5" s="31" t="s">
        <v>242</v>
      </c>
      <c r="H5" s="30" t="s">
        <v>243</v>
      </c>
      <c r="I5" s="40" t="s">
        <v>269</v>
      </c>
    </row>
    <row r="6" ht="60.75" customHeight="1" spans="1:9">
      <c r="A6" s="32" t="s">
        <v>246</v>
      </c>
      <c r="B6" s="33"/>
      <c r="C6" s="34">
        <v>119</v>
      </c>
      <c r="D6" s="35">
        <f>费用分析!M7</f>
        <v>228353.333333333</v>
      </c>
      <c r="E6" s="36">
        <f>费用分析!T7</f>
        <v>0.5668</v>
      </c>
      <c r="F6" s="35">
        <f>D6/(1-E6)</f>
        <v>527131.425053863</v>
      </c>
      <c r="G6" s="35">
        <f>F6/30</f>
        <v>17571.0475017954</v>
      </c>
      <c r="H6" s="37">
        <f>G6/C6</f>
        <v>147.655861359625</v>
      </c>
      <c r="I6" s="41">
        <f>试算!C41</f>
        <v>651571.2</v>
      </c>
    </row>
    <row r="7" ht="18.75" customHeight="1"/>
    <row r="8" spans="1:1">
      <c r="A8" s="16" t="s">
        <v>270</v>
      </c>
    </row>
  </sheetData>
  <mergeCells count="5">
    <mergeCell ref="A2:I2"/>
    <mergeCell ref="A4:B4"/>
    <mergeCell ref="A5:B5"/>
    <mergeCell ref="A6:B6"/>
    <mergeCell ref="C4:C5"/>
  </mergeCells>
  <printOptions horizontalCentered="1"/>
  <pageMargins left="0" right="0" top="0.156944444444444" bottom="0" header="0.314583333333333" footer="0.314583333333333"/>
  <pageSetup paperSize="9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1:O26"/>
  <sheetViews>
    <sheetView tabSelected="1" workbookViewId="0">
      <selection activeCell="G7" sqref="G7"/>
    </sheetView>
  </sheetViews>
  <sheetFormatPr defaultColWidth="9" defaultRowHeight="14.25"/>
  <cols>
    <col min="1" max="1" width="2.375" customWidth="1"/>
    <col min="2" max="2" width="22.75" customWidth="1"/>
    <col min="3" max="3" width="17.375" customWidth="1"/>
    <col min="4" max="6" width="17.25" customWidth="1"/>
    <col min="7" max="7" width="17.125" customWidth="1"/>
    <col min="8" max="8" width="17.625" customWidth="1"/>
    <col min="9" max="9" width="20.125" customWidth="1"/>
    <col min="10" max="13" width="16.875" customWidth="1"/>
    <col min="14" max="14" width="16.75" customWidth="1"/>
    <col min="15" max="15" width="16" customWidth="1"/>
  </cols>
  <sheetData>
    <row r="1" ht="28.5" spans="2:14">
      <c r="B1" s="1" t="s">
        <v>271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25" spans="2:15">
      <c r="B2" s="2" t="s">
        <v>272</v>
      </c>
      <c r="C2" s="3" t="s">
        <v>170</v>
      </c>
      <c r="D2" s="3" t="s">
        <v>171</v>
      </c>
      <c r="E2" s="3" t="s">
        <v>172</v>
      </c>
      <c r="F2" s="3" t="s">
        <v>173</v>
      </c>
      <c r="G2" s="3" t="s">
        <v>174</v>
      </c>
      <c r="H2" s="3" t="s">
        <v>175</v>
      </c>
      <c r="I2" s="3" t="s">
        <v>176</v>
      </c>
      <c r="J2" s="3" t="s">
        <v>177</v>
      </c>
      <c r="K2" s="3" t="s">
        <v>178</v>
      </c>
      <c r="L2" s="3" t="s">
        <v>179</v>
      </c>
      <c r="M2" s="3" t="s">
        <v>180</v>
      </c>
      <c r="N2" s="3" t="s">
        <v>181</v>
      </c>
      <c r="O2" s="11" t="s">
        <v>23</v>
      </c>
    </row>
    <row r="3" ht="17.25" spans="2:15">
      <c r="B3" s="4" t="s">
        <v>273</v>
      </c>
      <c r="C3" s="5">
        <v>0</v>
      </c>
      <c r="D3" s="5">
        <v>0</v>
      </c>
      <c r="E3" s="5">
        <v>0</v>
      </c>
      <c r="F3" s="5">
        <v>0</v>
      </c>
      <c r="G3" s="5">
        <f>试算!E17*22+试算!E22*8</f>
        <v>9249.10933333333</v>
      </c>
      <c r="H3" s="5">
        <f>试算!E17*22+试算!E22*8</f>
        <v>9249.10933333333</v>
      </c>
      <c r="I3" s="5">
        <f>试算!E17*22+试算!E22*8</f>
        <v>9249.10933333333</v>
      </c>
      <c r="J3" s="5">
        <f>试算!E30*22+试算!E35*8</f>
        <v>13213.0133333333</v>
      </c>
      <c r="K3" s="5">
        <f>试算!E30*22+试算!E35*8</f>
        <v>13213.0133333333</v>
      </c>
      <c r="L3" s="5">
        <f>试算!E30*22+试算!E35*8</f>
        <v>13213.0133333333</v>
      </c>
      <c r="M3" s="5">
        <f>试算!E30*22+试算!E35*8</f>
        <v>13213.0133333333</v>
      </c>
      <c r="N3" s="5">
        <f>试算!E30*22+试算!E35*8</f>
        <v>13213.0133333333</v>
      </c>
      <c r="O3" s="12">
        <f>SUM(C3:N3)</f>
        <v>93812.3946666667</v>
      </c>
    </row>
    <row r="4" ht="17.25" spans="2:15">
      <c r="B4" s="4" t="s">
        <v>121</v>
      </c>
      <c r="C4" s="5">
        <v>0</v>
      </c>
      <c r="D4" s="5">
        <v>0</v>
      </c>
      <c r="E4" s="5">
        <v>0</v>
      </c>
      <c r="F4" s="5">
        <v>0</v>
      </c>
      <c r="G4" s="5">
        <f>试算!H22</f>
        <v>456099.84</v>
      </c>
      <c r="H4" s="5">
        <f>试算!H22</f>
        <v>456099.84</v>
      </c>
      <c r="I4" s="5">
        <f>试算!H22</f>
        <v>456099.84</v>
      </c>
      <c r="J4" s="5">
        <f>试算!C41</f>
        <v>651571.2</v>
      </c>
      <c r="K4" s="5">
        <f>试算!C41</f>
        <v>651571.2</v>
      </c>
      <c r="L4" s="5">
        <f>试算!C41</f>
        <v>651571.2</v>
      </c>
      <c r="M4" s="5">
        <f>试算!C41</f>
        <v>651571.2</v>
      </c>
      <c r="N4" s="5">
        <f>试算!C41</f>
        <v>651571.2</v>
      </c>
      <c r="O4" s="12">
        <f t="shared" ref="O4:O21" si="0">SUM(C4:N4)</f>
        <v>4626155.52</v>
      </c>
    </row>
    <row r="5" ht="17.25" spans="2:15">
      <c r="B5" s="4" t="s">
        <v>122</v>
      </c>
      <c r="C5" s="5">
        <v>0</v>
      </c>
      <c r="D5" s="5">
        <v>0</v>
      </c>
      <c r="E5" s="5">
        <v>0</v>
      </c>
      <c r="F5" s="5">
        <v>0</v>
      </c>
      <c r="G5" s="5">
        <f t="shared" ref="G5:N5" si="1">G4*0.1</f>
        <v>45609.984</v>
      </c>
      <c r="H5" s="5">
        <f t="shared" si="1"/>
        <v>45609.984</v>
      </c>
      <c r="I5" s="5">
        <f t="shared" si="1"/>
        <v>45609.984</v>
      </c>
      <c r="J5" s="5">
        <f t="shared" si="1"/>
        <v>65157.12</v>
      </c>
      <c r="K5" s="5">
        <f t="shared" si="1"/>
        <v>65157.12</v>
      </c>
      <c r="L5" s="5">
        <f t="shared" si="1"/>
        <v>65157.12</v>
      </c>
      <c r="M5" s="5">
        <f t="shared" si="1"/>
        <v>65157.12</v>
      </c>
      <c r="N5" s="5">
        <f t="shared" si="1"/>
        <v>65157.12</v>
      </c>
      <c r="O5" s="12">
        <f t="shared" si="0"/>
        <v>462615.552</v>
      </c>
    </row>
    <row r="6" ht="17.25" spans="2:15">
      <c r="B6" s="4" t="s">
        <v>124</v>
      </c>
      <c r="C6" s="5">
        <v>0</v>
      </c>
      <c r="D6" s="5">
        <v>0</v>
      </c>
      <c r="E6" s="5">
        <v>0</v>
      </c>
      <c r="F6" s="5">
        <v>0</v>
      </c>
      <c r="G6" s="5">
        <f t="shared" ref="G6:N6" si="2">G4-G5</f>
        <v>410489.856</v>
      </c>
      <c r="H6" s="5">
        <f t="shared" si="2"/>
        <v>410489.856</v>
      </c>
      <c r="I6" s="5">
        <f t="shared" si="2"/>
        <v>410489.856</v>
      </c>
      <c r="J6" s="5">
        <f t="shared" si="2"/>
        <v>586414.08</v>
      </c>
      <c r="K6" s="5">
        <f t="shared" si="2"/>
        <v>586414.08</v>
      </c>
      <c r="L6" s="5">
        <f t="shared" si="2"/>
        <v>586414.08</v>
      </c>
      <c r="M6" s="5">
        <f t="shared" si="2"/>
        <v>586414.08</v>
      </c>
      <c r="N6" s="5">
        <f t="shared" si="2"/>
        <v>586414.08</v>
      </c>
      <c r="O6" s="12">
        <f t="shared" si="0"/>
        <v>4163539.968</v>
      </c>
    </row>
    <row r="7" ht="17.25" spans="2:15">
      <c r="B7" s="4" t="s">
        <v>125</v>
      </c>
      <c r="C7" s="5">
        <v>0</v>
      </c>
      <c r="D7" s="5">
        <v>0</v>
      </c>
      <c r="E7" s="5">
        <v>0</v>
      </c>
      <c r="F7" s="5">
        <v>0</v>
      </c>
      <c r="G7" s="5">
        <f t="shared" ref="G7:N7" si="3">G3*0.3</f>
        <v>2774.7328</v>
      </c>
      <c r="H7" s="5">
        <f t="shared" si="3"/>
        <v>2774.7328</v>
      </c>
      <c r="I7" s="5">
        <f t="shared" si="3"/>
        <v>2774.7328</v>
      </c>
      <c r="J7" s="5">
        <f t="shared" si="3"/>
        <v>3963.904</v>
      </c>
      <c r="K7" s="5">
        <f t="shared" si="3"/>
        <v>3963.904</v>
      </c>
      <c r="L7" s="5">
        <f t="shared" si="3"/>
        <v>3963.904</v>
      </c>
      <c r="M7" s="5">
        <f t="shared" si="3"/>
        <v>3963.904</v>
      </c>
      <c r="N7" s="5">
        <f t="shared" si="3"/>
        <v>3963.904</v>
      </c>
      <c r="O7" s="12">
        <f t="shared" si="0"/>
        <v>28143.7184</v>
      </c>
    </row>
    <row r="8" ht="17.25" spans="2:15">
      <c r="B8" s="4" t="s">
        <v>127</v>
      </c>
      <c r="C8" s="5">
        <v>0</v>
      </c>
      <c r="D8" s="5">
        <v>0</v>
      </c>
      <c r="E8" s="5">
        <v>0</v>
      </c>
      <c r="F8" s="5">
        <v>0</v>
      </c>
      <c r="G8" s="5">
        <f t="shared" ref="G8:N8" si="4">G6*0.0568</f>
        <v>23315.8238208</v>
      </c>
      <c r="H8" s="5">
        <f t="shared" si="4"/>
        <v>23315.8238208</v>
      </c>
      <c r="I8" s="5">
        <f t="shared" si="4"/>
        <v>23315.8238208</v>
      </c>
      <c r="J8" s="5">
        <f t="shared" si="4"/>
        <v>33308.319744</v>
      </c>
      <c r="K8" s="5">
        <f t="shared" si="4"/>
        <v>33308.319744</v>
      </c>
      <c r="L8" s="5">
        <f t="shared" si="4"/>
        <v>33308.319744</v>
      </c>
      <c r="M8" s="5">
        <f t="shared" si="4"/>
        <v>33308.319744</v>
      </c>
      <c r="N8" s="5">
        <f t="shared" si="4"/>
        <v>33308.319744</v>
      </c>
      <c r="O8" s="12">
        <f t="shared" si="0"/>
        <v>236489.0701824</v>
      </c>
    </row>
    <row r="9" ht="17.25" spans="2:15">
      <c r="B9" s="4" t="s">
        <v>129</v>
      </c>
      <c r="C9" s="5">
        <v>0</v>
      </c>
      <c r="D9" s="5">
        <v>0</v>
      </c>
      <c r="E9" s="5">
        <v>0</v>
      </c>
      <c r="F9" s="5">
        <v>0</v>
      </c>
      <c r="G9" s="5">
        <f t="shared" ref="G9:N9" si="5">G6-G7-G8</f>
        <v>384399.2993792</v>
      </c>
      <c r="H9" s="5">
        <f t="shared" si="5"/>
        <v>384399.2993792</v>
      </c>
      <c r="I9" s="5">
        <f t="shared" si="5"/>
        <v>384399.2993792</v>
      </c>
      <c r="J9" s="5">
        <f t="shared" si="5"/>
        <v>549141.856256</v>
      </c>
      <c r="K9" s="5">
        <f t="shared" si="5"/>
        <v>549141.856256</v>
      </c>
      <c r="L9" s="5">
        <f t="shared" si="5"/>
        <v>549141.856256</v>
      </c>
      <c r="M9" s="5">
        <f t="shared" si="5"/>
        <v>549141.856256</v>
      </c>
      <c r="N9" s="5">
        <f t="shared" si="5"/>
        <v>549141.856256</v>
      </c>
      <c r="O9" s="12">
        <f t="shared" si="0"/>
        <v>3898907.1794176</v>
      </c>
    </row>
    <row r="10" ht="17.25" spans="2:15">
      <c r="B10" s="4" t="s">
        <v>130</v>
      </c>
      <c r="C10" s="5">
        <v>0</v>
      </c>
      <c r="D10" s="5">
        <v>0</v>
      </c>
      <c r="E10" s="5">
        <v>0</v>
      </c>
      <c r="F10" s="5">
        <v>0</v>
      </c>
      <c r="G10" s="5">
        <f t="shared" ref="G10:N10" si="6">G9/G3</f>
        <v>41.5606828209765</v>
      </c>
      <c r="H10" s="5">
        <f t="shared" si="6"/>
        <v>41.5606828209765</v>
      </c>
      <c r="I10" s="5">
        <f t="shared" si="6"/>
        <v>41.5606828209765</v>
      </c>
      <c r="J10" s="5">
        <f t="shared" si="6"/>
        <v>41.5606828209765</v>
      </c>
      <c r="K10" s="5">
        <f t="shared" si="6"/>
        <v>41.5606828209765</v>
      </c>
      <c r="L10" s="5">
        <f t="shared" si="6"/>
        <v>41.5606828209765</v>
      </c>
      <c r="M10" s="5">
        <f t="shared" si="6"/>
        <v>41.5606828209765</v>
      </c>
      <c r="N10" s="5">
        <f t="shared" si="6"/>
        <v>41.5606828209765</v>
      </c>
      <c r="O10" s="12">
        <f t="shared" si="0"/>
        <v>332.485462567812</v>
      </c>
    </row>
    <row r="11" ht="17.25" spans="2:15">
      <c r="B11" s="4" t="s">
        <v>131</v>
      </c>
      <c r="C11" s="5">
        <v>0</v>
      </c>
      <c r="D11" s="5">
        <v>0</v>
      </c>
      <c r="E11" s="5">
        <v>0</v>
      </c>
      <c r="F11" s="5">
        <v>0</v>
      </c>
      <c r="G11" s="5">
        <f t="shared" ref="G11:N11" si="7">SUM(G12:G19)</f>
        <v>153957.402026667</v>
      </c>
      <c r="H11" s="5">
        <f t="shared" si="7"/>
        <v>153957.402026667</v>
      </c>
      <c r="I11" s="5">
        <f t="shared" si="7"/>
        <v>174437.402026667</v>
      </c>
      <c r="J11" s="5">
        <f t="shared" si="7"/>
        <v>174873.431466667</v>
      </c>
      <c r="K11" s="5">
        <f t="shared" si="7"/>
        <v>174873.431466667</v>
      </c>
      <c r="L11" s="5">
        <f t="shared" si="7"/>
        <v>174873.431466667</v>
      </c>
      <c r="M11" s="5">
        <f t="shared" si="7"/>
        <v>174873.431466667</v>
      </c>
      <c r="N11" s="5">
        <f t="shared" si="7"/>
        <v>174873.431466667</v>
      </c>
      <c r="O11" s="12">
        <f t="shared" si="0"/>
        <v>1356719.36341333</v>
      </c>
    </row>
    <row r="12" ht="17.25" spans="2:15">
      <c r="B12" s="4" t="s">
        <v>132</v>
      </c>
      <c r="C12" s="5">
        <v>0</v>
      </c>
      <c r="D12" s="5">
        <v>0</v>
      </c>
      <c r="E12" s="5">
        <v>0</v>
      </c>
      <c r="F12" s="5">
        <v>0</v>
      </c>
      <c r="G12" s="5">
        <f>架构!F35+G3*0.05</f>
        <v>117362.455466667</v>
      </c>
      <c r="H12" s="5">
        <f>架构!F35+H3*0.05</f>
        <v>117362.455466667</v>
      </c>
      <c r="I12" s="5">
        <f>架构!F35+I3*0.05</f>
        <v>117362.455466667</v>
      </c>
      <c r="J12" s="5">
        <f>架构!F35+J3*0.05</f>
        <v>117560.650666667</v>
      </c>
      <c r="K12" s="5">
        <f>架构!F35+K3*0.05</f>
        <v>117560.650666667</v>
      </c>
      <c r="L12" s="5">
        <f>架构!F35+L3*0.05</f>
        <v>117560.650666667</v>
      </c>
      <c r="M12" s="5">
        <f>架构!F35+M3*0.05</f>
        <v>117560.650666667</v>
      </c>
      <c r="N12" s="5">
        <f>架构!F35+N3*0.05</f>
        <v>117560.650666667</v>
      </c>
      <c r="O12" s="12">
        <f t="shared" si="0"/>
        <v>939890.619733333</v>
      </c>
    </row>
    <row r="13" ht="17.25" spans="2:15">
      <c r="B13" s="4" t="s">
        <v>134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f t="shared" ref="I13:N13" si="8">256*80</f>
        <v>20480</v>
      </c>
      <c r="J13" s="5">
        <f t="shared" si="8"/>
        <v>20480</v>
      </c>
      <c r="K13" s="5">
        <f t="shared" si="8"/>
        <v>20480</v>
      </c>
      <c r="L13" s="5">
        <f t="shared" si="8"/>
        <v>20480</v>
      </c>
      <c r="M13" s="5">
        <f t="shared" si="8"/>
        <v>20480</v>
      </c>
      <c r="N13" s="5">
        <f t="shared" si="8"/>
        <v>20480</v>
      </c>
      <c r="O13" s="12">
        <f t="shared" si="0"/>
        <v>122880</v>
      </c>
    </row>
    <row r="14" ht="17.25" spans="2:15">
      <c r="B14" s="4" t="s">
        <v>136</v>
      </c>
      <c r="C14" s="5">
        <v>0</v>
      </c>
      <c r="D14" s="5">
        <v>0</v>
      </c>
      <c r="E14" s="5">
        <v>0</v>
      </c>
      <c r="F14" s="5">
        <v>0</v>
      </c>
      <c r="G14" s="5">
        <f t="shared" ref="G14:N14" si="9">256*40</f>
        <v>10240</v>
      </c>
      <c r="H14" s="5">
        <f t="shared" si="9"/>
        <v>10240</v>
      </c>
      <c r="I14" s="5">
        <f t="shared" si="9"/>
        <v>10240</v>
      </c>
      <c r="J14" s="5">
        <f t="shared" si="9"/>
        <v>10240</v>
      </c>
      <c r="K14" s="5">
        <f t="shared" si="9"/>
        <v>10240</v>
      </c>
      <c r="L14" s="5">
        <f t="shared" si="9"/>
        <v>10240</v>
      </c>
      <c r="M14" s="5">
        <f t="shared" si="9"/>
        <v>10240</v>
      </c>
      <c r="N14" s="5">
        <f t="shared" si="9"/>
        <v>10240</v>
      </c>
      <c r="O14" s="12">
        <f t="shared" si="0"/>
        <v>81920</v>
      </c>
    </row>
    <row r="15" ht="17.25" spans="2:15">
      <c r="B15" s="4" t="s">
        <v>138</v>
      </c>
      <c r="C15" s="5">
        <v>0</v>
      </c>
      <c r="D15" s="5">
        <v>0</v>
      </c>
      <c r="E15" s="5">
        <v>0</v>
      </c>
      <c r="F15" s="5">
        <v>0</v>
      </c>
      <c r="G15" s="5">
        <f t="shared" ref="G15:N15" si="10">256*50</f>
        <v>12800</v>
      </c>
      <c r="H15" s="5">
        <f t="shared" si="10"/>
        <v>12800</v>
      </c>
      <c r="I15" s="5">
        <f t="shared" si="10"/>
        <v>12800</v>
      </c>
      <c r="J15" s="5">
        <f t="shared" si="10"/>
        <v>12800</v>
      </c>
      <c r="K15" s="5">
        <f t="shared" si="10"/>
        <v>12800</v>
      </c>
      <c r="L15" s="5">
        <f t="shared" si="10"/>
        <v>12800</v>
      </c>
      <c r="M15" s="5">
        <f t="shared" si="10"/>
        <v>12800</v>
      </c>
      <c r="N15" s="5">
        <f t="shared" si="10"/>
        <v>12800</v>
      </c>
      <c r="O15" s="12">
        <f t="shared" si="0"/>
        <v>102400</v>
      </c>
    </row>
    <row r="16" ht="17.25" spans="2:15">
      <c r="B16" s="4" t="s">
        <v>140</v>
      </c>
      <c r="C16" s="5">
        <v>0</v>
      </c>
      <c r="D16" s="5">
        <v>0</v>
      </c>
      <c r="E16" s="5">
        <v>0</v>
      </c>
      <c r="F16" s="5">
        <v>0</v>
      </c>
      <c r="G16" s="5">
        <v>1000</v>
      </c>
      <c r="H16" s="5">
        <v>1000</v>
      </c>
      <c r="I16" s="5">
        <v>1000</v>
      </c>
      <c r="J16" s="5">
        <v>1000</v>
      </c>
      <c r="K16" s="5">
        <v>1000</v>
      </c>
      <c r="L16" s="5">
        <v>1000</v>
      </c>
      <c r="M16" s="5">
        <v>1000</v>
      </c>
      <c r="N16" s="5">
        <v>1000</v>
      </c>
      <c r="O16" s="12">
        <f t="shared" si="0"/>
        <v>8000</v>
      </c>
    </row>
    <row r="17" ht="17.25" spans="2:15">
      <c r="B17" s="4" t="s">
        <v>141</v>
      </c>
      <c r="C17" s="5">
        <v>0</v>
      </c>
      <c r="D17" s="5">
        <v>0</v>
      </c>
      <c r="E17" s="5">
        <v>0</v>
      </c>
      <c r="F17" s="5">
        <v>0</v>
      </c>
      <c r="G17" s="5">
        <v>2000</v>
      </c>
      <c r="H17" s="5">
        <v>2000</v>
      </c>
      <c r="I17" s="5">
        <v>2000</v>
      </c>
      <c r="J17" s="5">
        <v>2000</v>
      </c>
      <c r="K17" s="5">
        <v>2000</v>
      </c>
      <c r="L17" s="5">
        <v>2000</v>
      </c>
      <c r="M17" s="5">
        <v>2000</v>
      </c>
      <c r="N17" s="5">
        <v>2000</v>
      </c>
      <c r="O17" s="12">
        <f t="shared" si="0"/>
        <v>16000</v>
      </c>
    </row>
    <row r="18" ht="17.25" spans="2:15">
      <c r="B18" s="4" t="s">
        <v>142</v>
      </c>
      <c r="C18" s="5">
        <v>0</v>
      </c>
      <c r="D18" s="5">
        <v>0</v>
      </c>
      <c r="E18" s="5">
        <v>0</v>
      </c>
      <c r="F18" s="5">
        <v>0</v>
      </c>
      <c r="G18" s="5">
        <f t="shared" ref="G18:N18" si="11">G3*0.03</f>
        <v>277.47328</v>
      </c>
      <c r="H18" s="5">
        <f t="shared" si="11"/>
        <v>277.47328</v>
      </c>
      <c r="I18" s="5">
        <f t="shared" si="11"/>
        <v>277.47328</v>
      </c>
      <c r="J18" s="5">
        <f t="shared" si="11"/>
        <v>396.3904</v>
      </c>
      <c r="K18" s="5">
        <f t="shared" si="11"/>
        <v>396.3904</v>
      </c>
      <c r="L18" s="5">
        <f t="shared" si="11"/>
        <v>396.3904</v>
      </c>
      <c r="M18" s="5">
        <f t="shared" si="11"/>
        <v>396.3904</v>
      </c>
      <c r="N18" s="5">
        <f t="shared" si="11"/>
        <v>396.3904</v>
      </c>
      <c r="O18" s="12">
        <f t="shared" si="0"/>
        <v>2814.37184</v>
      </c>
    </row>
    <row r="19" ht="17.25" spans="2:15">
      <c r="B19" s="4" t="s">
        <v>274</v>
      </c>
      <c r="C19" s="5">
        <v>0</v>
      </c>
      <c r="D19" s="5">
        <v>0</v>
      </c>
      <c r="E19" s="5">
        <v>0</v>
      </c>
      <c r="F19" s="5">
        <v>0</v>
      </c>
      <c r="G19" s="5">
        <f t="shared" ref="G19:N19" si="12">10000+G3*0.03</f>
        <v>10277.47328</v>
      </c>
      <c r="H19" s="5">
        <f t="shared" si="12"/>
        <v>10277.47328</v>
      </c>
      <c r="I19" s="5">
        <f t="shared" si="12"/>
        <v>10277.47328</v>
      </c>
      <c r="J19" s="5">
        <f t="shared" si="12"/>
        <v>10396.3904</v>
      </c>
      <c r="K19" s="5">
        <f t="shared" si="12"/>
        <v>10396.3904</v>
      </c>
      <c r="L19" s="5">
        <f t="shared" si="12"/>
        <v>10396.3904</v>
      </c>
      <c r="M19" s="5">
        <f t="shared" si="12"/>
        <v>10396.3904</v>
      </c>
      <c r="N19" s="5">
        <f t="shared" si="12"/>
        <v>10396.3904</v>
      </c>
      <c r="O19" s="12">
        <f t="shared" si="0"/>
        <v>82814.37184</v>
      </c>
    </row>
    <row r="20" ht="17.25" spans="2:15">
      <c r="B20" s="6" t="s">
        <v>147</v>
      </c>
      <c r="C20" s="5">
        <v>0</v>
      </c>
      <c r="D20" s="5">
        <v>0</v>
      </c>
      <c r="E20" s="5">
        <v>0</v>
      </c>
      <c r="F20" s="5">
        <v>642160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12">
        <v>0</v>
      </c>
    </row>
    <row r="21" ht="17.25" spans="2:15">
      <c r="B21" s="4" t="s">
        <v>148</v>
      </c>
      <c r="C21" s="5">
        <v>0</v>
      </c>
      <c r="D21" s="5">
        <v>0</v>
      </c>
      <c r="E21" s="5">
        <v>0</v>
      </c>
      <c r="F21" s="5">
        <f>0-F20</f>
        <v>-642160</v>
      </c>
      <c r="G21" s="5">
        <f t="shared" ref="G21:N21" si="13">G9-G11</f>
        <v>230441.897352533</v>
      </c>
      <c r="H21" s="5">
        <f t="shared" si="13"/>
        <v>230441.897352533</v>
      </c>
      <c r="I21" s="5">
        <f t="shared" si="13"/>
        <v>209961.897352533</v>
      </c>
      <c r="J21" s="5">
        <f t="shared" si="13"/>
        <v>374268.424789333</v>
      </c>
      <c r="K21" s="5">
        <f t="shared" si="13"/>
        <v>374268.424789333</v>
      </c>
      <c r="L21" s="5">
        <f t="shared" si="13"/>
        <v>374268.424789333</v>
      </c>
      <c r="M21" s="5">
        <f t="shared" si="13"/>
        <v>374268.424789333</v>
      </c>
      <c r="N21" s="5">
        <f t="shared" si="13"/>
        <v>374268.424789333</v>
      </c>
      <c r="O21" s="12">
        <f t="shared" si="0"/>
        <v>1900027.81600427</v>
      </c>
    </row>
    <row r="22" ht="16.5" spans="2:15">
      <c r="B22" s="7" t="s">
        <v>275</v>
      </c>
      <c r="C22" s="8">
        <f>投资!D11-C21</f>
        <v>1450240</v>
      </c>
      <c r="D22" s="8">
        <f t="shared" ref="D22:I22" si="14">C22-D21</f>
        <v>1450240</v>
      </c>
      <c r="E22" s="8">
        <f t="shared" si="14"/>
        <v>1450240</v>
      </c>
      <c r="F22" s="8">
        <f t="shared" si="14"/>
        <v>2092400</v>
      </c>
      <c r="G22" s="8">
        <f t="shared" si="14"/>
        <v>1861958.10264747</v>
      </c>
      <c r="H22" s="8">
        <f t="shared" si="14"/>
        <v>1631516.20529493</v>
      </c>
      <c r="I22" s="8">
        <f t="shared" si="14"/>
        <v>1421554.3079424</v>
      </c>
      <c r="J22" s="8">
        <f t="shared" ref="J22" si="15">I22-J21</f>
        <v>1047285.88315307</v>
      </c>
      <c r="K22" s="8">
        <f t="shared" ref="K22" si="16">J22-K21</f>
        <v>673017.458363734</v>
      </c>
      <c r="L22" s="8">
        <f t="shared" ref="L22" si="17">K22-L21</f>
        <v>298749.033574401</v>
      </c>
      <c r="M22" s="13">
        <f t="shared" ref="M22" si="18">L22-M21</f>
        <v>-75519.3912149327</v>
      </c>
      <c r="N22" s="13">
        <f t="shared" ref="N22" si="19">M22-N21</f>
        <v>-449787.816004266</v>
      </c>
      <c r="O22" s="14">
        <f t="shared" ref="O22" si="20">N22-O21</f>
        <v>-2349815.63200853</v>
      </c>
    </row>
    <row r="24" ht="18" customHeight="1" spans="2:3">
      <c r="B24" s="9" t="s">
        <v>276</v>
      </c>
      <c r="C24" s="10"/>
    </row>
    <row r="25" ht="18" customHeight="1" spans="2:3">
      <c r="B25" s="9" t="s">
        <v>277</v>
      </c>
      <c r="C25" s="10"/>
    </row>
    <row r="26" ht="18" customHeight="1" spans="2:3">
      <c r="B26" s="9" t="s">
        <v>278</v>
      </c>
      <c r="C26" s="10"/>
    </row>
  </sheetData>
  <mergeCells count="1">
    <mergeCell ref="B1:N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E35" sqref="E35"/>
    </sheetView>
  </sheetViews>
  <sheetFormatPr defaultColWidth="9" defaultRowHeight="14.25" outlineLevelCol="7"/>
  <cols>
    <col min="1" max="1" width="15.125" style="331" customWidth="1"/>
    <col min="2" max="2" width="10.375" style="331" customWidth="1"/>
    <col min="3" max="3" width="14.25" style="331" customWidth="1"/>
    <col min="4" max="4" width="11.625" style="331" customWidth="1"/>
    <col min="5" max="5" width="13.625" style="402" customWidth="1"/>
    <col min="6" max="6" width="13.875" style="402" customWidth="1"/>
    <col min="7" max="7" width="3" style="331" customWidth="1"/>
    <col min="8" max="8" width="13.875" style="331" customWidth="1"/>
    <col min="9" max="16384" width="9" style="331"/>
  </cols>
  <sheetData>
    <row r="1" ht="15" spans="1:7">
      <c r="A1" s="100"/>
      <c r="B1" s="403"/>
      <c r="C1" s="403"/>
      <c r="D1" s="100"/>
      <c r="E1" s="100"/>
      <c r="F1" s="100"/>
      <c r="G1" s="121" t="s">
        <v>0</v>
      </c>
    </row>
    <row r="2" ht="18.75" spans="1:3">
      <c r="A2" s="404" t="s">
        <v>30</v>
      </c>
      <c r="C2" s="405" t="s">
        <v>31</v>
      </c>
    </row>
    <row r="3" ht="23.25" customHeight="1" spans="1:4">
      <c r="A3" s="406" t="s">
        <v>32</v>
      </c>
      <c r="B3" s="407">
        <v>256</v>
      </c>
      <c r="C3" s="408" t="s">
        <v>33</v>
      </c>
      <c r="D3" s="395"/>
    </row>
    <row r="4" ht="23.25" customHeight="1" spans="1:4">
      <c r="A4" s="409" t="s">
        <v>34</v>
      </c>
      <c r="B4" s="410">
        <f>256*0.3</f>
        <v>76.8</v>
      </c>
      <c r="C4" s="411" t="s">
        <v>33</v>
      </c>
      <c r="D4" s="395"/>
    </row>
    <row r="5" ht="23.25" customHeight="1" spans="1:4">
      <c r="A5" s="409" t="s">
        <v>35</v>
      </c>
      <c r="B5" s="410">
        <f>B3*0.7</f>
        <v>179.2</v>
      </c>
      <c r="C5" s="411" t="s">
        <v>33</v>
      </c>
      <c r="D5" s="395"/>
    </row>
    <row r="6" ht="23.25" customHeight="1" spans="1:4">
      <c r="A6" s="409" t="s">
        <v>36</v>
      </c>
      <c r="B6" s="410">
        <v>120</v>
      </c>
      <c r="C6" s="411" t="s">
        <v>37</v>
      </c>
      <c r="D6" s="412">
        <f>B6*B3</f>
        <v>30720</v>
      </c>
    </row>
    <row r="7" ht="23.25" customHeight="1" spans="1:4">
      <c r="A7" s="413" t="s">
        <v>38</v>
      </c>
      <c r="B7" s="410">
        <f>B5/3</f>
        <v>59.7333333333333</v>
      </c>
      <c r="C7" s="411" t="s">
        <v>39</v>
      </c>
      <c r="D7" s="395"/>
    </row>
    <row r="8" ht="23.25" customHeight="1" spans="1:4">
      <c r="A8" s="414" t="s">
        <v>40</v>
      </c>
      <c r="B8" s="415">
        <f>B7*2</f>
        <v>119.466666666667</v>
      </c>
      <c r="C8" s="416" t="s">
        <v>41</v>
      </c>
      <c r="D8" s="395"/>
    </row>
    <row r="10" ht="18" spans="1:6">
      <c r="A10" s="417" t="s">
        <v>42</v>
      </c>
      <c r="B10" s="418"/>
      <c r="C10" s="418"/>
      <c r="D10" s="418"/>
      <c r="E10" s="419"/>
      <c r="F10" s="419"/>
    </row>
    <row r="11" ht="18" spans="1:6">
      <c r="A11" s="418" t="s">
        <v>43</v>
      </c>
      <c r="B11" s="418"/>
      <c r="C11" s="418"/>
      <c r="D11" s="418"/>
      <c r="E11" s="419"/>
      <c r="F11" s="419"/>
    </row>
    <row r="12" s="329" customFormat="1" ht="18" spans="1:6">
      <c r="A12" s="420"/>
      <c r="B12" s="421" t="s">
        <v>44</v>
      </c>
      <c r="C12" s="421" t="s">
        <v>45</v>
      </c>
      <c r="D12" s="421" t="s">
        <v>46</v>
      </c>
      <c r="E12" s="422" t="s">
        <v>47</v>
      </c>
      <c r="F12" s="423" t="s">
        <v>48</v>
      </c>
    </row>
    <row r="13" ht="17.25" spans="1:6">
      <c r="A13" s="424" t="s">
        <v>49</v>
      </c>
      <c r="B13" s="335" t="s">
        <v>50</v>
      </c>
      <c r="C13" s="425">
        <v>40</v>
      </c>
      <c r="D13" s="425">
        <f>D26*0.7</f>
        <v>0.7</v>
      </c>
      <c r="E13" s="426">
        <f>D13*$B$8</f>
        <v>83.6266666666667</v>
      </c>
      <c r="F13" s="427">
        <f>E13*C13</f>
        <v>3345.06666666667</v>
      </c>
    </row>
    <row r="14" ht="17.25" spans="1:6">
      <c r="A14" s="424"/>
      <c r="B14" s="335" t="s">
        <v>51</v>
      </c>
      <c r="C14" s="425">
        <v>30</v>
      </c>
      <c r="D14" s="425">
        <f>D27*0.7</f>
        <v>0.49</v>
      </c>
      <c r="E14" s="426">
        <f>D14*$B$8</f>
        <v>58.5386666666666</v>
      </c>
      <c r="F14" s="427">
        <f>E14*C14</f>
        <v>1756.16</v>
      </c>
    </row>
    <row r="15" ht="17.25" spans="1:6">
      <c r="A15" s="424"/>
      <c r="B15" s="335" t="s">
        <v>52</v>
      </c>
      <c r="C15" s="425">
        <v>80</v>
      </c>
      <c r="D15" s="425">
        <f>D28*0.7</f>
        <v>0.7</v>
      </c>
      <c r="E15" s="426">
        <f>D15*$B$8</f>
        <v>83.6266666666667</v>
      </c>
      <c r="F15" s="427">
        <f>E15*C15</f>
        <v>6690.13333333333</v>
      </c>
    </row>
    <row r="16" ht="17.25" spans="1:6">
      <c r="A16" s="424"/>
      <c r="B16" s="335" t="s">
        <v>53</v>
      </c>
      <c r="C16" s="425">
        <v>40</v>
      </c>
      <c r="D16" s="425">
        <f>D29*0.7</f>
        <v>0.56</v>
      </c>
      <c r="E16" s="426">
        <f>D16*$B$8</f>
        <v>66.9013333333333</v>
      </c>
      <c r="F16" s="427">
        <f>E16*C16</f>
        <v>2676.05333333333</v>
      </c>
    </row>
    <row r="17" ht="18" spans="1:6">
      <c r="A17" s="424"/>
      <c r="B17" s="384" t="s">
        <v>20</v>
      </c>
      <c r="C17" s="385">
        <f>SUM(C13:C16)/4</f>
        <v>47.5</v>
      </c>
      <c r="D17" s="428">
        <f>SUM(D13:D16)/4</f>
        <v>0.6125</v>
      </c>
      <c r="E17" s="429">
        <f>SUM(E13:E16)</f>
        <v>292.693333333333</v>
      </c>
      <c r="F17" s="430">
        <f>SUM(F13:F16)</f>
        <v>14467.4133333333</v>
      </c>
    </row>
    <row r="18" ht="17.25" spans="1:6">
      <c r="A18" s="431" t="s">
        <v>54</v>
      </c>
      <c r="B18" s="335" t="s">
        <v>50</v>
      </c>
      <c r="C18" s="425">
        <v>40</v>
      </c>
      <c r="D18" s="425">
        <f>D31*0.7</f>
        <v>0.84</v>
      </c>
      <c r="E18" s="426">
        <f>D18*$B$8</f>
        <v>100.352</v>
      </c>
      <c r="F18" s="427">
        <f>E18*C18</f>
        <v>4014.08</v>
      </c>
    </row>
    <row r="19" ht="17.25" spans="1:6">
      <c r="A19" s="431"/>
      <c r="B19" s="335" t="s">
        <v>51</v>
      </c>
      <c r="C19" s="425">
        <v>30</v>
      </c>
      <c r="D19" s="425">
        <f t="shared" ref="D19:D21" si="0">D32*0.7</f>
        <v>0.7</v>
      </c>
      <c r="E19" s="426">
        <f>D19*$B$8</f>
        <v>83.6266666666667</v>
      </c>
      <c r="F19" s="427">
        <f>E19*C19</f>
        <v>2508.8</v>
      </c>
    </row>
    <row r="20" ht="17.25" spans="1:6">
      <c r="A20" s="431"/>
      <c r="B20" s="335" t="s">
        <v>52</v>
      </c>
      <c r="C20" s="425">
        <v>80</v>
      </c>
      <c r="D20" s="425">
        <f t="shared" si="0"/>
        <v>0.84</v>
      </c>
      <c r="E20" s="426">
        <f>D20*$B$8</f>
        <v>100.352</v>
      </c>
      <c r="F20" s="427">
        <f>E20*C20</f>
        <v>8028.16</v>
      </c>
    </row>
    <row r="21" ht="17.25" spans="1:6">
      <c r="A21" s="431"/>
      <c r="B21" s="335" t="s">
        <v>53</v>
      </c>
      <c r="C21" s="425">
        <v>40</v>
      </c>
      <c r="D21" s="425">
        <f t="shared" si="0"/>
        <v>0.56</v>
      </c>
      <c r="E21" s="426">
        <f>D21*$B$8</f>
        <v>66.9013333333333</v>
      </c>
      <c r="F21" s="427">
        <f>E21*C21</f>
        <v>2676.05333333333</v>
      </c>
    </row>
    <row r="22" ht="18.75" spans="1:8">
      <c r="A22" s="432"/>
      <c r="B22" s="433" t="s">
        <v>20</v>
      </c>
      <c r="C22" s="434">
        <f>SUM(C18:C21)/4</f>
        <v>47.5</v>
      </c>
      <c r="D22" s="435">
        <f>SUM(D18:D21)/4</f>
        <v>0.735</v>
      </c>
      <c r="E22" s="436">
        <f>SUM(E18:E21)</f>
        <v>351.232</v>
      </c>
      <c r="F22" s="437">
        <f>SUM(F18:F21)</f>
        <v>17227.0933333333</v>
      </c>
      <c r="H22" s="438">
        <f>F17*22+F22*8</f>
        <v>456099.84</v>
      </c>
    </row>
    <row r="23" ht="17.25" spans="1:6">
      <c r="A23" s="418"/>
      <c r="B23" s="418"/>
      <c r="C23" s="418"/>
      <c r="D23" s="418"/>
      <c r="E23" s="419"/>
      <c r="F23" s="419"/>
    </row>
    <row r="24" ht="18" spans="1:6">
      <c r="A24" s="418" t="s">
        <v>55</v>
      </c>
      <c r="B24" s="418"/>
      <c r="C24" s="418"/>
      <c r="D24" s="418"/>
      <c r="E24" s="419"/>
      <c r="F24" s="419"/>
    </row>
    <row r="25" s="329" customFormat="1" ht="18" spans="1:6">
      <c r="A25" s="420"/>
      <c r="B25" s="421" t="s">
        <v>44</v>
      </c>
      <c r="C25" s="421" t="s">
        <v>45</v>
      </c>
      <c r="D25" s="421" t="s">
        <v>46</v>
      </c>
      <c r="E25" s="422" t="s">
        <v>47</v>
      </c>
      <c r="F25" s="423" t="s">
        <v>48</v>
      </c>
    </row>
    <row r="26" ht="17.25" spans="1:6">
      <c r="A26" s="424" t="s">
        <v>49</v>
      </c>
      <c r="B26" s="335" t="s">
        <v>50</v>
      </c>
      <c r="C26" s="425">
        <v>40</v>
      </c>
      <c r="D26" s="425">
        <v>1</v>
      </c>
      <c r="E26" s="426">
        <f>D26*$B$8</f>
        <v>119.466666666667</v>
      </c>
      <c r="F26" s="427">
        <f>E26*C26</f>
        <v>4778.66666666667</v>
      </c>
    </row>
    <row r="27" ht="17.25" spans="1:6">
      <c r="A27" s="424"/>
      <c r="B27" s="335" t="s">
        <v>51</v>
      </c>
      <c r="C27" s="425">
        <v>30</v>
      </c>
      <c r="D27" s="425">
        <v>0.7</v>
      </c>
      <c r="E27" s="426">
        <f>D27*$B$8</f>
        <v>83.6266666666667</v>
      </c>
      <c r="F27" s="427">
        <f>E27*C27</f>
        <v>2508.8</v>
      </c>
    </row>
    <row r="28" ht="17.25" spans="1:6">
      <c r="A28" s="424"/>
      <c r="B28" s="335" t="s">
        <v>52</v>
      </c>
      <c r="C28" s="425">
        <v>80</v>
      </c>
      <c r="D28" s="425">
        <v>1</v>
      </c>
      <c r="E28" s="426">
        <f>D28*$B$8</f>
        <v>119.466666666667</v>
      </c>
      <c r="F28" s="427">
        <f>E28*C28</f>
        <v>9557.33333333333</v>
      </c>
    </row>
    <row r="29" ht="17.25" spans="1:6">
      <c r="A29" s="424"/>
      <c r="B29" s="335" t="s">
        <v>53</v>
      </c>
      <c r="C29" s="425">
        <v>40</v>
      </c>
      <c r="D29" s="425">
        <v>0.8</v>
      </c>
      <c r="E29" s="426">
        <f>D29*$B$8</f>
        <v>95.5733333333333</v>
      </c>
      <c r="F29" s="427">
        <f>E29*C29</f>
        <v>3822.93333333333</v>
      </c>
    </row>
    <row r="30" ht="18" spans="1:6">
      <c r="A30" s="424"/>
      <c r="B30" s="439" t="s">
        <v>20</v>
      </c>
      <c r="C30" s="440">
        <f>SUM(C26:C29)/4</f>
        <v>47.5</v>
      </c>
      <c r="D30" s="441">
        <f>SUM(D26:D29)/4</f>
        <v>0.875</v>
      </c>
      <c r="E30" s="442">
        <f>SUM(E26:E29)</f>
        <v>418.133333333333</v>
      </c>
      <c r="F30" s="443">
        <f>SUM(F26:F29)</f>
        <v>20667.7333333333</v>
      </c>
    </row>
    <row r="31" ht="17.25" spans="1:6">
      <c r="A31" s="431" t="s">
        <v>54</v>
      </c>
      <c r="B31" s="335" t="s">
        <v>50</v>
      </c>
      <c r="C31" s="425">
        <v>40</v>
      </c>
      <c r="D31" s="425">
        <v>1.2</v>
      </c>
      <c r="E31" s="426">
        <f>D31*$B$8</f>
        <v>143.36</v>
      </c>
      <c r="F31" s="427">
        <f>E31*C31</f>
        <v>5734.4</v>
      </c>
    </row>
    <row r="32" ht="17.25" spans="1:6">
      <c r="A32" s="431"/>
      <c r="B32" s="335" t="s">
        <v>51</v>
      </c>
      <c r="C32" s="425">
        <v>30</v>
      </c>
      <c r="D32" s="425">
        <v>1</v>
      </c>
      <c r="E32" s="426">
        <f>D32*$B$8</f>
        <v>119.466666666667</v>
      </c>
      <c r="F32" s="427">
        <f>E32*C32</f>
        <v>3584</v>
      </c>
    </row>
    <row r="33" ht="17.25" spans="1:6">
      <c r="A33" s="431"/>
      <c r="B33" s="335" t="s">
        <v>52</v>
      </c>
      <c r="C33" s="425">
        <v>80</v>
      </c>
      <c r="D33" s="425">
        <v>1.2</v>
      </c>
      <c r="E33" s="426">
        <f>D33*$B$8</f>
        <v>143.36</v>
      </c>
      <c r="F33" s="427">
        <f>E33*C33</f>
        <v>11468.8</v>
      </c>
    </row>
    <row r="34" ht="17.25" spans="1:6">
      <c r="A34" s="431"/>
      <c r="B34" s="335" t="s">
        <v>53</v>
      </c>
      <c r="C34" s="425">
        <v>40</v>
      </c>
      <c r="D34" s="425">
        <v>0.8</v>
      </c>
      <c r="E34" s="426">
        <f>D34*$B$8</f>
        <v>95.5733333333333</v>
      </c>
      <c r="F34" s="427">
        <f>E34*C34</f>
        <v>3822.93333333333</v>
      </c>
    </row>
    <row r="35" ht="18.75" spans="1:6">
      <c r="A35" s="432"/>
      <c r="B35" s="444" t="s">
        <v>20</v>
      </c>
      <c r="C35" s="445">
        <f>SUM(C31:C34)/4</f>
        <v>47.5</v>
      </c>
      <c r="D35" s="446">
        <f>SUM(D31:D34)/4</f>
        <v>1.05</v>
      </c>
      <c r="E35" s="447">
        <f>SUM(E31:E34)</f>
        <v>501.76</v>
      </c>
      <c r="F35" s="448">
        <f>SUM(F31:F34)</f>
        <v>24610.1333333333</v>
      </c>
    </row>
    <row r="36" ht="15"/>
    <row r="37" ht="19.5" customHeight="1" spans="1:3">
      <c r="A37" s="420" t="s">
        <v>56</v>
      </c>
      <c r="B37" s="449" t="s">
        <v>50</v>
      </c>
      <c r="C37" s="427">
        <f>F26*22+F31*8</f>
        <v>151005.866666667</v>
      </c>
    </row>
    <row r="38" ht="19.5" customHeight="1" spans="1:3">
      <c r="A38" s="450"/>
      <c r="B38" s="335" t="s">
        <v>51</v>
      </c>
      <c r="C38" s="427">
        <f>F27*22+F32*8</f>
        <v>83865.6</v>
      </c>
    </row>
    <row r="39" ht="19.5" customHeight="1" spans="1:3">
      <c r="A39" s="450"/>
      <c r="B39" s="335" t="s">
        <v>52</v>
      </c>
      <c r="C39" s="427">
        <f>F28*22+F33*8</f>
        <v>302011.733333333</v>
      </c>
    </row>
    <row r="40" ht="19.5" customHeight="1" spans="1:3">
      <c r="A40" s="450"/>
      <c r="B40" s="335" t="s">
        <v>53</v>
      </c>
      <c r="C40" s="427">
        <f>F29*22+F34*8</f>
        <v>114688</v>
      </c>
    </row>
    <row r="41" ht="19.5" customHeight="1" spans="1:3">
      <c r="A41" s="450"/>
      <c r="B41" s="451" t="s">
        <v>20</v>
      </c>
      <c r="C41" s="452">
        <f>SUM(C37:C40)</f>
        <v>651571.2</v>
      </c>
    </row>
    <row r="42" ht="19.5" customHeight="1" spans="1:3">
      <c r="A42" s="453" t="s">
        <v>57</v>
      </c>
      <c r="B42" s="454"/>
      <c r="C42" s="455">
        <f>C41/30</f>
        <v>21719.04</v>
      </c>
    </row>
    <row r="43" ht="19.5" customHeight="1" spans="1:3">
      <c r="A43" s="453" t="s">
        <v>58</v>
      </c>
      <c r="B43" s="454"/>
      <c r="C43" s="455">
        <f>C41/B3</f>
        <v>2545.2</v>
      </c>
    </row>
    <row r="44" ht="19.5" customHeight="1" spans="1:3">
      <c r="A44" s="456" t="s">
        <v>59</v>
      </c>
      <c r="B44" s="457"/>
      <c r="C44" s="437">
        <f>C43/30</f>
        <v>84.84</v>
      </c>
    </row>
  </sheetData>
  <mergeCells count="8">
    <mergeCell ref="A42:B42"/>
    <mergeCell ref="A43:B43"/>
    <mergeCell ref="A44:B44"/>
    <mergeCell ref="A13:A17"/>
    <mergeCell ref="A18:A22"/>
    <mergeCell ref="A26:A30"/>
    <mergeCell ref="A31:A35"/>
    <mergeCell ref="A37:A41"/>
  </mergeCells>
  <pageMargins left="0.699305555555556" right="0.699305555555556" top="0.75" bottom="0.75" header="0.3" footer="0.3"/>
  <pageSetup paperSize="9" orientation="portrait" horizont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1"/>
  <sheetViews>
    <sheetView topLeftCell="B1" workbookViewId="0">
      <selection activeCell="C22" sqref="C22:C27"/>
    </sheetView>
  </sheetViews>
  <sheetFormatPr defaultColWidth="9" defaultRowHeight="13.5"/>
  <cols>
    <col min="1" max="1" width="9" style="331"/>
    <col min="2" max="2" width="6.25" style="331" customWidth="1"/>
    <col min="3" max="3" width="18.5" style="331" customWidth="1"/>
    <col min="4" max="4" width="18.25" style="331" customWidth="1"/>
    <col min="5" max="5" width="6.875" style="331" customWidth="1"/>
    <col min="6" max="6" width="14.375" style="331" customWidth="1"/>
    <col min="7" max="7" width="9" style="331"/>
    <col min="8" max="8" width="6.625" style="331" customWidth="1"/>
    <col min="9" max="9" width="12.25" style="331" customWidth="1"/>
    <col min="10" max="16384" width="9" style="331"/>
  </cols>
  <sheetData>
    <row r="1" ht="21" customHeight="1" spans="2:11">
      <c r="B1" s="100"/>
      <c r="C1" s="100"/>
      <c r="D1" s="100"/>
      <c r="E1" s="100"/>
      <c r="F1" s="100"/>
      <c r="G1" s="100"/>
      <c r="H1" s="100"/>
      <c r="I1" s="100"/>
      <c r="J1" s="100"/>
      <c r="K1" s="121" t="s">
        <v>0</v>
      </c>
    </row>
    <row r="2" ht="30.75" customHeight="1" spans="2:11">
      <c r="B2" s="369" t="s">
        <v>60</v>
      </c>
      <c r="C2" s="369"/>
      <c r="D2" s="369"/>
      <c r="E2" s="369"/>
      <c r="F2" s="369"/>
      <c r="G2" s="369"/>
      <c r="H2" s="369"/>
      <c r="I2" s="369"/>
      <c r="J2" s="370"/>
      <c r="K2" s="399"/>
    </row>
    <row r="3" ht="9.75" customHeight="1" spans="2:11">
      <c r="B3" s="370"/>
      <c r="C3" s="370"/>
      <c r="D3" s="370"/>
      <c r="E3" s="370"/>
      <c r="F3" s="370"/>
      <c r="G3" s="370"/>
      <c r="H3" s="370"/>
      <c r="I3" s="370"/>
      <c r="J3" s="370"/>
      <c r="K3" s="399"/>
    </row>
    <row r="4" ht="16.5" spans="2:9">
      <c r="B4" s="371"/>
      <c r="C4" s="371" t="s">
        <v>61</v>
      </c>
      <c r="D4" s="371" t="s">
        <v>62</v>
      </c>
      <c r="E4" s="371" t="s">
        <v>63</v>
      </c>
      <c r="F4" s="371" t="s">
        <v>64</v>
      </c>
      <c r="G4" s="371" t="s">
        <v>65</v>
      </c>
      <c r="H4" s="371"/>
      <c r="I4" s="371"/>
    </row>
    <row r="5" ht="16.5" spans="2:10">
      <c r="B5" s="372" t="s">
        <v>35</v>
      </c>
      <c r="C5" s="373" t="s">
        <v>66</v>
      </c>
      <c r="D5" s="373" t="s">
        <v>67</v>
      </c>
      <c r="E5" s="335">
        <v>1</v>
      </c>
      <c r="F5" s="374">
        <v>4500</v>
      </c>
      <c r="G5" s="337"/>
      <c r="H5" s="336"/>
      <c r="I5" s="400"/>
      <c r="J5" s="395"/>
    </row>
    <row r="6" ht="14.25" customHeight="1" spans="2:9">
      <c r="B6" s="375"/>
      <c r="C6" s="376" t="s">
        <v>68</v>
      </c>
      <c r="D6" s="377" t="s">
        <v>69</v>
      </c>
      <c r="E6" s="335">
        <v>1</v>
      </c>
      <c r="F6" s="374">
        <v>3500</v>
      </c>
      <c r="G6" s="337"/>
      <c r="H6" s="336"/>
      <c r="I6" s="400"/>
    </row>
    <row r="7" ht="16.5" spans="2:9">
      <c r="B7" s="375"/>
      <c r="C7" s="377"/>
      <c r="D7" s="377" t="s">
        <v>70</v>
      </c>
      <c r="E7" s="335">
        <v>1</v>
      </c>
      <c r="F7" s="374">
        <v>3000</v>
      </c>
      <c r="G7" s="337"/>
      <c r="H7" s="336"/>
      <c r="I7" s="400"/>
    </row>
    <row r="8" ht="14.25" customHeight="1" spans="2:9">
      <c r="B8" s="375"/>
      <c r="C8" s="377"/>
      <c r="D8" s="377" t="s">
        <v>71</v>
      </c>
      <c r="E8" s="335">
        <v>2</v>
      </c>
      <c r="F8" s="374">
        <v>2600</v>
      </c>
      <c r="G8" s="378" t="s">
        <v>72</v>
      </c>
      <c r="H8" s="378"/>
      <c r="I8" s="378"/>
    </row>
    <row r="9" ht="16.5" spans="2:9">
      <c r="B9" s="375"/>
      <c r="C9" s="377"/>
      <c r="D9" s="377" t="s">
        <v>73</v>
      </c>
      <c r="E9" s="335">
        <v>3</v>
      </c>
      <c r="F9" s="374">
        <v>2200</v>
      </c>
      <c r="G9" s="378"/>
      <c r="H9" s="378"/>
      <c r="I9" s="378"/>
    </row>
    <row r="10" ht="16.5" spans="2:10">
      <c r="B10" s="375"/>
      <c r="C10" s="377"/>
      <c r="D10" s="377" t="s">
        <v>74</v>
      </c>
      <c r="E10" s="335">
        <v>3</v>
      </c>
      <c r="F10" s="374">
        <f>4*10*30</f>
        <v>1200</v>
      </c>
      <c r="G10" s="379" t="s">
        <v>75</v>
      </c>
      <c r="H10" s="380"/>
      <c r="I10" s="401"/>
      <c r="J10" s="395"/>
    </row>
    <row r="11" ht="16.5" spans="2:10">
      <c r="B11" s="375"/>
      <c r="C11" s="377"/>
      <c r="D11" s="377" t="s">
        <v>76</v>
      </c>
      <c r="E11" s="335">
        <v>1</v>
      </c>
      <c r="F11" s="374">
        <v>2200</v>
      </c>
      <c r="G11" s="379" t="s">
        <v>77</v>
      </c>
      <c r="H11" s="380"/>
      <c r="I11" s="401"/>
      <c r="J11" s="395"/>
    </row>
    <row r="12" ht="16.5" spans="2:10">
      <c r="B12" s="375"/>
      <c r="C12" s="377"/>
      <c r="D12" s="377" t="s">
        <v>78</v>
      </c>
      <c r="E12" s="335">
        <v>1</v>
      </c>
      <c r="F12" s="374">
        <v>2600</v>
      </c>
      <c r="G12" s="379" t="s">
        <v>79</v>
      </c>
      <c r="H12" s="380"/>
      <c r="I12" s="401"/>
      <c r="J12" s="395"/>
    </row>
    <row r="13" ht="16.5" spans="2:10">
      <c r="B13" s="375"/>
      <c r="C13" s="381" t="s">
        <v>80</v>
      </c>
      <c r="D13" s="373" t="s">
        <v>81</v>
      </c>
      <c r="E13" s="335">
        <v>1</v>
      </c>
      <c r="F13" s="374">
        <v>3500</v>
      </c>
      <c r="G13" s="337"/>
      <c r="H13" s="336"/>
      <c r="I13" s="400"/>
      <c r="J13" s="395"/>
    </row>
    <row r="14" ht="16.5" spans="2:10">
      <c r="B14" s="375"/>
      <c r="C14" s="373"/>
      <c r="D14" s="373" t="s">
        <v>70</v>
      </c>
      <c r="E14" s="335">
        <v>1</v>
      </c>
      <c r="F14" s="374">
        <v>3000</v>
      </c>
      <c r="G14" s="337"/>
      <c r="H14" s="336"/>
      <c r="I14" s="400"/>
      <c r="J14" s="395"/>
    </row>
    <row r="15" ht="16.5" spans="2:10">
      <c r="B15" s="375"/>
      <c r="C15" s="373"/>
      <c r="D15" s="373" t="s">
        <v>71</v>
      </c>
      <c r="E15" s="335">
        <v>2</v>
      </c>
      <c r="F15" s="374">
        <v>2600</v>
      </c>
      <c r="G15" s="337"/>
      <c r="H15" s="336"/>
      <c r="I15" s="400"/>
      <c r="J15" s="395"/>
    </row>
    <row r="16" ht="16.5" spans="2:10">
      <c r="B16" s="375"/>
      <c r="C16" s="373"/>
      <c r="D16" s="373" t="s">
        <v>73</v>
      </c>
      <c r="E16" s="335">
        <v>3</v>
      </c>
      <c r="F16" s="374">
        <v>2200</v>
      </c>
      <c r="G16" s="337"/>
      <c r="H16" s="336"/>
      <c r="I16" s="400"/>
      <c r="J16" s="395"/>
    </row>
    <row r="17" ht="16.5" spans="2:10">
      <c r="B17" s="375"/>
      <c r="C17" s="373"/>
      <c r="D17" s="373" t="s">
        <v>74</v>
      </c>
      <c r="E17" s="335">
        <v>4</v>
      </c>
      <c r="F17" s="374">
        <f>4*10*30</f>
        <v>1200</v>
      </c>
      <c r="G17" s="337"/>
      <c r="H17" s="336"/>
      <c r="I17" s="400"/>
      <c r="J17" s="395"/>
    </row>
    <row r="18" ht="16.5" spans="2:10">
      <c r="B18" s="375"/>
      <c r="C18" s="373"/>
      <c r="D18" s="373" t="s">
        <v>76</v>
      </c>
      <c r="E18" s="335">
        <v>1</v>
      </c>
      <c r="F18" s="374">
        <v>2200</v>
      </c>
      <c r="G18" s="337"/>
      <c r="H18" s="336"/>
      <c r="I18" s="400"/>
      <c r="J18" s="395"/>
    </row>
    <row r="19" ht="16.5" spans="2:10">
      <c r="B19" s="382"/>
      <c r="C19" s="373"/>
      <c r="D19" s="373" t="s">
        <v>78</v>
      </c>
      <c r="E19" s="335">
        <v>1</v>
      </c>
      <c r="F19" s="374">
        <v>2600</v>
      </c>
      <c r="G19" s="337"/>
      <c r="H19" s="336"/>
      <c r="I19" s="400"/>
      <c r="J19" s="395"/>
    </row>
    <row r="20" ht="16.5" spans="2:10">
      <c r="B20" s="383" t="s">
        <v>20</v>
      </c>
      <c r="C20" s="384"/>
      <c r="D20" s="385"/>
      <c r="E20" s="384">
        <f>SUM(E5:E19)</f>
        <v>26</v>
      </c>
      <c r="F20" s="386">
        <f>F5*E5+F6*E6+F7*E7+F8*E8+F9*E9+F10*E10+F11*E11+F12+F13+F14+F15*E15+F16*E16+F17*E17+F18+F19</f>
        <v>59100</v>
      </c>
      <c r="G20" s="337"/>
      <c r="H20" s="336"/>
      <c r="I20" s="400"/>
      <c r="J20" s="395"/>
    </row>
    <row r="21" ht="16.5" spans="2:10">
      <c r="B21" s="372" t="s">
        <v>34</v>
      </c>
      <c r="C21" s="373" t="s">
        <v>66</v>
      </c>
      <c r="D21" s="373" t="s">
        <v>82</v>
      </c>
      <c r="E21" s="335">
        <v>1</v>
      </c>
      <c r="F21" s="374">
        <v>10000</v>
      </c>
      <c r="G21" s="337"/>
      <c r="H21" s="336"/>
      <c r="I21" s="400"/>
      <c r="J21" s="395"/>
    </row>
    <row r="22" ht="16.5" spans="2:10">
      <c r="B22" s="375"/>
      <c r="C22" s="387" t="s">
        <v>83</v>
      </c>
      <c r="D22" s="377" t="s">
        <v>84</v>
      </c>
      <c r="E22" s="335">
        <v>1</v>
      </c>
      <c r="F22" s="374">
        <v>6000</v>
      </c>
      <c r="G22" s="337"/>
      <c r="H22" s="336"/>
      <c r="I22" s="400"/>
      <c r="J22" s="395"/>
    </row>
    <row r="23" ht="16.5" spans="2:10">
      <c r="B23" s="375"/>
      <c r="C23" s="388"/>
      <c r="D23" s="377" t="s">
        <v>85</v>
      </c>
      <c r="E23" s="335">
        <v>1</v>
      </c>
      <c r="F23" s="374">
        <v>4000</v>
      </c>
      <c r="G23" s="337"/>
      <c r="H23" s="336"/>
      <c r="I23" s="400"/>
      <c r="J23" s="395"/>
    </row>
    <row r="24" ht="16.5" spans="2:10">
      <c r="B24" s="375"/>
      <c r="C24" s="388"/>
      <c r="D24" s="377" t="s">
        <v>86</v>
      </c>
      <c r="E24" s="335">
        <v>1</v>
      </c>
      <c r="F24" s="374">
        <v>3500</v>
      </c>
      <c r="G24" s="337"/>
      <c r="H24" s="336"/>
      <c r="I24" s="400"/>
      <c r="J24" s="395"/>
    </row>
    <row r="25" ht="16.5" spans="2:10">
      <c r="B25" s="375"/>
      <c r="C25" s="388"/>
      <c r="D25" s="377" t="s">
        <v>87</v>
      </c>
      <c r="E25" s="335">
        <v>1</v>
      </c>
      <c r="F25" s="389">
        <v>3000</v>
      </c>
      <c r="G25" s="337"/>
      <c r="H25" s="336"/>
      <c r="I25" s="400"/>
      <c r="J25" s="395"/>
    </row>
    <row r="26" ht="16.5" spans="2:10">
      <c r="B26" s="375"/>
      <c r="C26" s="388"/>
      <c r="D26" s="377" t="s">
        <v>88</v>
      </c>
      <c r="E26" s="335">
        <v>2</v>
      </c>
      <c r="F26" s="374">
        <v>2600</v>
      </c>
      <c r="G26" s="337"/>
      <c r="H26" s="336"/>
      <c r="I26" s="400"/>
      <c r="J26" s="395"/>
    </row>
    <row r="27" ht="16.5" spans="2:10">
      <c r="B27" s="375"/>
      <c r="C27" s="390"/>
      <c r="D27" s="377" t="s">
        <v>89</v>
      </c>
      <c r="E27" s="335">
        <v>1</v>
      </c>
      <c r="F27" s="374">
        <v>2200</v>
      </c>
      <c r="G27" s="337"/>
      <c r="H27" s="336"/>
      <c r="I27" s="400"/>
      <c r="J27" s="395"/>
    </row>
    <row r="28" ht="16.5" spans="2:10">
      <c r="B28" s="375"/>
      <c r="C28" s="391" t="s">
        <v>80</v>
      </c>
      <c r="D28" s="371" t="s">
        <v>84</v>
      </c>
      <c r="E28" s="335">
        <v>1</v>
      </c>
      <c r="F28" s="374">
        <v>6000</v>
      </c>
      <c r="G28" s="337"/>
      <c r="H28" s="336"/>
      <c r="I28" s="400"/>
      <c r="J28" s="395"/>
    </row>
    <row r="29" ht="16.5" spans="2:10">
      <c r="B29" s="375"/>
      <c r="C29" s="375"/>
      <c r="D29" s="371" t="s">
        <v>85</v>
      </c>
      <c r="E29" s="335">
        <v>1</v>
      </c>
      <c r="F29" s="374">
        <v>4000</v>
      </c>
      <c r="G29" s="337"/>
      <c r="H29" s="336"/>
      <c r="I29" s="400"/>
      <c r="J29" s="395"/>
    </row>
    <row r="30" ht="16.5" spans="2:10">
      <c r="B30" s="375"/>
      <c r="C30" s="375"/>
      <c r="D30" s="371" t="s">
        <v>86</v>
      </c>
      <c r="E30" s="335">
        <v>1</v>
      </c>
      <c r="F30" s="374">
        <v>3500</v>
      </c>
      <c r="G30" s="337"/>
      <c r="H30" s="336"/>
      <c r="I30" s="400"/>
      <c r="J30" s="395"/>
    </row>
    <row r="31" ht="16.5" spans="2:10">
      <c r="B31" s="375"/>
      <c r="C31" s="375"/>
      <c r="D31" s="371" t="s">
        <v>87</v>
      </c>
      <c r="E31" s="335">
        <v>1</v>
      </c>
      <c r="F31" s="389">
        <v>3000</v>
      </c>
      <c r="G31" s="337"/>
      <c r="H31" s="336"/>
      <c r="I31" s="400"/>
      <c r="J31" s="395"/>
    </row>
    <row r="32" ht="16.5" spans="2:10">
      <c r="B32" s="375"/>
      <c r="C32" s="375"/>
      <c r="D32" s="371" t="s">
        <v>88</v>
      </c>
      <c r="E32" s="335">
        <v>2</v>
      </c>
      <c r="F32" s="374">
        <v>2600</v>
      </c>
      <c r="G32" s="337"/>
      <c r="H32" s="336"/>
      <c r="I32" s="400"/>
      <c r="J32" s="395"/>
    </row>
    <row r="33" ht="16.5" spans="2:10">
      <c r="B33" s="382"/>
      <c r="C33" s="382"/>
      <c r="D33" s="371" t="s">
        <v>89</v>
      </c>
      <c r="E33" s="335">
        <v>1</v>
      </c>
      <c r="F33" s="374">
        <v>2200</v>
      </c>
      <c r="G33" s="337"/>
      <c r="H33" s="336"/>
      <c r="I33" s="400"/>
      <c r="J33" s="395"/>
    </row>
    <row r="34" ht="16.5" spans="2:10">
      <c r="B34" s="392" t="s">
        <v>20</v>
      </c>
      <c r="C34" s="393"/>
      <c r="D34" s="394"/>
      <c r="E34" s="384">
        <f>SUM(E21:E33)</f>
        <v>15</v>
      </c>
      <c r="F34" s="386">
        <f>F21*E21+F22*E22+F23*E23+F24*E24+F25*E25+F26*E26+F27+F28+F29*E29+F30*E30+F31*E31+F32*E32+F33</f>
        <v>57800</v>
      </c>
      <c r="G34" s="337"/>
      <c r="H34" s="336"/>
      <c r="I34" s="400"/>
      <c r="J34" s="395"/>
    </row>
    <row r="35" ht="16.5" spans="2:10">
      <c r="B35" s="392" t="s">
        <v>23</v>
      </c>
      <c r="C35" s="393"/>
      <c r="D35" s="394"/>
      <c r="E35" s="384">
        <f>E20+E34</f>
        <v>41</v>
      </c>
      <c r="F35" s="386">
        <f>F20+F34</f>
        <v>116900</v>
      </c>
      <c r="G35" s="337"/>
      <c r="H35" s="336"/>
      <c r="I35" s="400"/>
      <c r="J35" s="395"/>
    </row>
    <row r="36" spans="2:10">
      <c r="B36" s="395"/>
      <c r="C36" s="395"/>
      <c r="D36" s="396"/>
      <c r="E36" s="395"/>
      <c r="F36" s="395"/>
      <c r="G36" s="395"/>
      <c r="H36" s="395"/>
      <c r="I36" s="395"/>
      <c r="J36" s="395"/>
    </row>
    <row r="37" spans="2:10">
      <c r="B37" s="397" t="s">
        <v>90</v>
      </c>
      <c r="C37" s="395"/>
      <c r="D37" s="398"/>
      <c r="E37" s="395"/>
      <c r="F37" s="395"/>
      <c r="G37" s="395"/>
      <c r="H37" s="395"/>
      <c r="I37" s="395"/>
      <c r="J37" s="395"/>
    </row>
    <row r="38" spans="2:10">
      <c r="B38" s="395"/>
      <c r="C38" s="395"/>
      <c r="D38" s="395"/>
      <c r="E38" s="395"/>
      <c r="F38" s="395"/>
      <c r="G38" s="395"/>
      <c r="H38" s="395"/>
      <c r="I38" s="395"/>
      <c r="J38" s="395"/>
    </row>
    <row r="39" spans="2:10">
      <c r="B39" s="395"/>
      <c r="C39" s="395"/>
      <c r="D39" s="395"/>
      <c r="E39" s="395"/>
      <c r="F39" s="395"/>
      <c r="G39" s="395"/>
      <c r="H39" s="395"/>
      <c r="I39" s="395"/>
      <c r="J39" s="395"/>
    </row>
    <row r="40" spans="2:10">
      <c r="B40" s="395"/>
      <c r="C40" s="395"/>
      <c r="D40" s="395"/>
      <c r="E40" s="395"/>
      <c r="F40" s="395"/>
      <c r="G40" s="395"/>
      <c r="H40" s="395"/>
      <c r="I40" s="395"/>
      <c r="J40" s="395"/>
    </row>
    <row r="41" spans="2:9">
      <c r="B41" s="395"/>
      <c r="C41" s="395"/>
      <c r="D41" s="395"/>
      <c r="E41" s="395"/>
      <c r="F41" s="395"/>
      <c r="G41" s="395"/>
      <c r="H41" s="395"/>
      <c r="I41" s="395"/>
    </row>
  </sheetData>
  <mergeCells count="40">
    <mergeCell ref="B2:I2"/>
    <mergeCell ref="G4:I4"/>
    <mergeCell ref="G5:I5"/>
    <mergeCell ref="G6:I6"/>
    <mergeCell ref="G7:I7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B34:D34"/>
    <mergeCell ref="G34:I34"/>
    <mergeCell ref="B35:D35"/>
    <mergeCell ref="G35:I35"/>
    <mergeCell ref="B5:B19"/>
    <mergeCell ref="B21:B33"/>
    <mergeCell ref="C6:C12"/>
    <mergeCell ref="C13:C19"/>
    <mergeCell ref="C22:C27"/>
    <mergeCell ref="C28:C33"/>
    <mergeCell ref="G8:I9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13" sqref="E13:E16"/>
    </sheetView>
  </sheetViews>
  <sheetFormatPr defaultColWidth="9" defaultRowHeight="13.5"/>
  <cols>
    <col min="1" max="1" width="9" style="330"/>
    <col min="2" max="2" width="11.625" style="330" customWidth="1"/>
    <col min="3" max="3" width="21.5" style="331" customWidth="1"/>
    <col min="4" max="4" width="19.375" style="329" customWidth="1"/>
    <col min="5" max="16384" width="9" style="331"/>
  </cols>
  <sheetData>
    <row r="1" ht="20.25" spans="1:10">
      <c r="A1" s="332" t="s">
        <v>91</v>
      </c>
      <c r="J1" s="329"/>
    </row>
    <row r="2" s="329" customFormat="1" ht="14.25" customHeight="1" spans="1:10">
      <c r="A2" s="333" t="s">
        <v>44</v>
      </c>
      <c r="B2" s="334"/>
      <c r="C2" s="335" t="s">
        <v>92</v>
      </c>
      <c r="D2" s="336" t="s">
        <v>93</v>
      </c>
      <c r="E2" s="335" t="s">
        <v>35</v>
      </c>
      <c r="F2" s="336" t="s">
        <v>34</v>
      </c>
      <c r="G2" s="337" t="s">
        <v>94</v>
      </c>
      <c r="H2" s="335" t="s">
        <v>89</v>
      </c>
      <c r="I2" s="336" t="s">
        <v>78</v>
      </c>
      <c r="J2" s="335" t="s">
        <v>23</v>
      </c>
    </row>
    <row r="3" ht="16.5" spans="1:11">
      <c r="A3" s="338" t="s">
        <v>95</v>
      </c>
      <c r="B3" s="339"/>
      <c r="C3" s="340" t="s">
        <v>96</v>
      </c>
      <c r="D3" s="341"/>
      <c r="E3" s="340"/>
      <c r="F3" s="340"/>
      <c r="G3" s="340">
        <v>1</v>
      </c>
      <c r="H3" s="340">
        <v>1</v>
      </c>
      <c r="I3" s="340"/>
      <c r="J3" s="363"/>
      <c r="K3" s="364"/>
    </row>
    <row r="4" ht="16.5" spans="1:10">
      <c r="A4" s="342"/>
      <c r="B4" s="343"/>
      <c r="C4" s="344"/>
      <c r="D4" s="345" t="s">
        <v>97</v>
      </c>
      <c r="E4" s="345">
        <v>8</v>
      </c>
      <c r="F4" s="345">
        <v>6</v>
      </c>
      <c r="G4" s="344"/>
      <c r="H4" s="344"/>
      <c r="I4" s="344">
        <v>1</v>
      </c>
      <c r="J4" s="365"/>
    </row>
    <row r="5" ht="14.25" customHeight="1" spans="1:10">
      <c r="A5" s="342" t="s">
        <v>98</v>
      </c>
      <c r="B5" s="343"/>
      <c r="C5" s="344" t="s">
        <v>99</v>
      </c>
      <c r="D5" s="345"/>
      <c r="E5" s="345"/>
      <c r="F5" s="345"/>
      <c r="G5" s="344"/>
      <c r="H5" s="344"/>
      <c r="I5" s="344"/>
      <c r="J5" s="365"/>
    </row>
    <row r="6" ht="14.25" customHeight="1" spans="1:10">
      <c r="A6" s="342"/>
      <c r="B6" s="343"/>
      <c r="C6" s="344" t="s">
        <v>100</v>
      </c>
      <c r="D6" s="345"/>
      <c r="E6" s="345"/>
      <c r="F6" s="345"/>
      <c r="G6" s="344"/>
      <c r="H6" s="344"/>
      <c r="I6" s="344"/>
      <c r="J6" s="365"/>
    </row>
    <row r="7" ht="14.25" customHeight="1" spans="1:10">
      <c r="A7" s="342" t="s">
        <v>101</v>
      </c>
      <c r="B7" s="346" t="s">
        <v>102</v>
      </c>
      <c r="C7" s="347"/>
      <c r="D7" s="345" t="s">
        <v>103</v>
      </c>
      <c r="E7" s="345">
        <v>11</v>
      </c>
      <c r="F7" s="345"/>
      <c r="G7" s="344"/>
      <c r="H7" s="344"/>
      <c r="I7" s="344"/>
      <c r="J7" s="365"/>
    </row>
    <row r="8" ht="14.25" customHeight="1" spans="1:10">
      <c r="A8" s="342"/>
      <c r="B8" s="346"/>
      <c r="C8" s="347"/>
      <c r="D8" s="345"/>
      <c r="E8" s="345"/>
      <c r="F8" s="345"/>
      <c r="G8" s="344"/>
      <c r="H8" s="344"/>
      <c r="I8" s="344"/>
      <c r="J8" s="365"/>
    </row>
    <row r="9" ht="14.25" customHeight="1" spans="1:10">
      <c r="A9" s="342" t="s">
        <v>104</v>
      </c>
      <c r="B9" s="346"/>
      <c r="C9" s="347"/>
      <c r="D9" s="345"/>
      <c r="E9" s="345"/>
      <c r="F9" s="345"/>
      <c r="G9" s="344"/>
      <c r="H9" s="344"/>
      <c r="I9" s="344"/>
      <c r="J9" s="365"/>
    </row>
    <row r="10" ht="14.25" customHeight="1" spans="1:10">
      <c r="A10" s="342"/>
      <c r="B10" s="346" t="s">
        <v>105</v>
      </c>
      <c r="C10" s="344" t="s">
        <v>96</v>
      </c>
      <c r="D10" s="345"/>
      <c r="E10" s="345"/>
      <c r="F10" s="345"/>
      <c r="G10" s="344"/>
      <c r="H10" s="344"/>
      <c r="I10" s="344"/>
      <c r="J10" s="365"/>
    </row>
    <row r="11" ht="14.25" customHeight="1" spans="1:10">
      <c r="A11" s="342" t="s">
        <v>106</v>
      </c>
      <c r="B11" s="346"/>
      <c r="C11" s="347"/>
      <c r="D11" s="345"/>
      <c r="E11" s="348">
        <v>8</v>
      </c>
      <c r="F11" s="345"/>
      <c r="G11" s="344"/>
      <c r="H11" s="344"/>
      <c r="I11" s="344"/>
      <c r="J11" s="365"/>
    </row>
    <row r="12" ht="14.25" customHeight="1" spans="1:10">
      <c r="A12" s="342"/>
      <c r="B12" s="346"/>
      <c r="C12" s="347" t="s">
        <v>107</v>
      </c>
      <c r="D12" s="345"/>
      <c r="E12" s="349"/>
      <c r="F12" s="345"/>
      <c r="G12" s="344"/>
      <c r="H12" s="344"/>
      <c r="I12" s="344"/>
      <c r="J12" s="365"/>
    </row>
    <row r="13" ht="14.25" customHeight="1" spans="1:10">
      <c r="A13" s="342" t="s">
        <v>108</v>
      </c>
      <c r="B13" s="350" t="s">
        <v>109</v>
      </c>
      <c r="C13" s="351" t="s">
        <v>110</v>
      </c>
      <c r="D13" s="352" t="s">
        <v>111</v>
      </c>
      <c r="E13" s="353">
        <v>12</v>
      </c>
      <c r="F13" s="352">
        <v>6</v>
      </c>
      <c r="G13" s="351"/>
      <c r="H13" s="351"/>
      <c r="I13" s="351">
        <v>1</v>
      </c>
      <c r="J13" s="366"/>
    </row>
    <row r="14" ht="14.25" customHeight="1" spans="1:10">
      <c r="A14" s="342"/>
      <c r="B14" s="350"/>
      <c r="C14" s="351"/>
      <c r="D14" s="352" t="s">
        <v>112</v>
      </c>
      <c r="E14" s="354"/>
      <c r="F14" s="352"/>
      <c r="G14" s="351"/>
      <c r="H14" s="351"/>
      <c r="I14" s="351"/>
      <c r="J14" s="366"/>
    </row>
    <row r="15" ht="14.25" customHeight="1" spans="1:10">
      <c r="A15" s="342" t="s">
        <v>113</v>
      </c>
      <c r="B15" s="350"/>
      <c r="C15" s="351"/>
      <c r="D15" s="352"/>
      <c r="E15" s="354"/>
      <c r="F15" s="352"/>
      <c r="G15" s="351"/>
      <c r="H15" s="351"/>
      <c r="I15" s="351"/>
      <c r="J15" s="366"/>
    </row>
    <row r="16" ht="14.25" customHeight="1" spans="1:10">
      <c r="A16" s="342"/>
      <c r="B16" s="350"/>
      <c r="C16" s="351"/>
      <c r="D16" s="352"/>
      <c r="E16" s="355"/>
      <c r="F16" s="352"/>
      <c r="G16" s="351"/>
      <c r="H16" s="351"/>
      <c r="I16" s="351"/>
      <c r="J16" s="366"/>
    </row>
    <row r="17" ht="14.25" customHeight="1" spans="1:10">
      <c r="A17" s="342" t="s">
        <v>114</v>
      </c>
      <c r="B17" s="350" t="s">
        <v>115</v>
      </c>
      <c r="C17" s="351"/>
      <c r="D17" s="352"/>
      <c r="E17" s="353">
        <v>8</v>
      </c>
      <c r="F17" s="352"/>
      <c r="G17" s="351"/>
      <c r="H17" s="351"/>
      <c r="I17" s="351"/>
      <c r="J17" s="366"/>
    </row>
    <row r="18" ht="14.25" customHeight="1" spans="1:10">
      <c r="A18" s="342"/>
      <c r="B18" s="350"/>
      <c r="C18" s="351"/>
      <c r="D18" s="352"/>
      <c r="E18" s="354"/>
      <c r="F18" s="352"/>
      <c r="G18" s="351">
        <v>1</v>
      </c>
      <c r="H18" s="351">
        <v>1</v>
      </c>
      <c r="I18" s="351"/>
      <c r="J18" s="366"/>
    </row>
    <row r="19" ht="14.25" customHeight="1" spans="1:10">
      <c r="A19" s="342" t="s">
        <v>116</v>
      </c>
      <c r="B19" s="350"/>
      <c r="C19" s="351"/>
      <c r="D19" s="352"/>
      <c r="E19" s="355"/>
      <c r="F19" s="352"/>
      <c r="G19" s="351"/>
      <c r="H19" s="351"/>
      <c r="I19" s="351"/>
      <c r="J19" s="366"/>
    </row>
    <row r="20" ht="16.5" spans="1:10">
      <c r="A20" s="342"/>
      <c r="B20" s="356"/>
      <c r="C20" s="357"/>
      <c r="D20" s="358"/>
      <c r="E20" s="357"/>
      <c r="F20" s="357"/>
      <c r="G20" s="357"/>
      <c r="H20" s="357"/>
      <c r="I20" s="357"/>
      <c r="J20" s="367"/>
    </row>
    <row r="21" ht="16.5" spans="1:10">
      <c r="A21" s="359" t="s">
        <v>117</v>
      </c>
      <c r="B21" s="360"/>
      <c r="C21" s="361"/>
      <c r="D21" s="362"/>
      <c r="E21" s="361"/>
      <c r="F21" s="361"/>
      <c r="G21" s="361"/>
      <c r="H21" s="361"/>
      <c r="I21" s="361"/>
      <c r="J21" s="368"/>
    </row>
  </sheetData>
  <mergeCells count="14">
    <mergeCell ref="A2:B2"/>
    <mergeCell ref="B7:B9"/>
    <mergeCell ref="B10:B12"/>
    <mergeCell ref="B13:B16"/>
    <mergeCell ref="B17:B19"/>
    <mergeCell ref="D7:D9"/>
    <mergeCell ref="D14:D17"/>
    <mergeCell ref="E4:E6"/>
    <mergeCell ref="E7:E10"/>
    <mergeCell ref="E11:E12"/>
    <mergeCell ref="E13:E16"/>
    <mergeCell ref="E17:E19"/>
    <mergeCell ref="F4:F12"/>
    <mergeCell ref="F13:F19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E33"/>
  <sheetViews>
    <sheetView workbookViewId="0">
      <selection activeCell="D16" sqref="D16"/>
    </sheetView>
  </sheetViews>
  <sheetFormatPr defaultColWidth="5.125" defaultRowHeight="24.75" customHeight="1" outlineLevelCol="4"/>
  <cols>
    <col min="1" max="1" width="34.25" style="263" customWidth="1"/>
    <col min="2" max="2" width="18.625" style="293" customWidth="1"/>
    <col min="3" max="3" width="11.125" style="293" customWidth="1"/>
    <col min="4" max="4" width="19.25" style="264" customWidth="1"/>
    <col min="5" max="10" width="4.625" style="265" customWidth="1"/>
    <col min="11" max="11" width="5.75" style="265" customWidth="1"/>
    <col min="12" max="16384" width="5.125" style="265"/>
  </cols>
  <sheetData>
    <row r="1" s="99" customFormat="1" ht="29.25" customHeight="1" spans="1:4">
      <c r="A1" s="100"/>
      <c r="B1" s="294"/>
      <c r="C1" s="294"/>
      <c r="D1" s="121" t="s">
        <v>0</v>
      </c>
    </row>
    <row r="2" ht="25.5" customHeight="1" spans="1:4">
      <c r="A2" s="295" t="s">
        <v>118</v>
      </c>
      <c r="B2" s="296"/>
      <c r="C2" s="296"/>
      <c r="D2" s="297"/>
    </row>
    <row r="3" s="260" customFormat="1" ht="19.5" customHeight="1" spans="1:5">
      <c r="A3" s="298"/>
      <c r="B3" s="299"/>
      <c r="C3" s="299"/>
      <c r="D3" s="300" t="s">
        <v>2</v>
      </c>
      <c r="E3" s="269"/>
    </row>
    <row r="4" s="260" customFormat="1" ht="21.75" customHeight="1" spans="1:4">
      <c r="A4" s="301" t="s">
        <v>119</v>
      </c>
      <c r="B4" s="302" t="s">
        <v>5</v>
      </c>
      <c r="C4" s="303" t="s">
        <v>120</v>
      </c>
      <c r="D4" s="304" t="s">
        <v>65</v>
      </c>
    </row>
    <row r="5" s="261" customFormat="1" ht="26.25" customHeight="1" spans="1:4">
      <c r="A5" s="305" t="s">
        <v>121</v>
      </c>
      <c r="B5" s="306">
        <f>试算!C41</f>
        <v>651571.2</v>
      </c>
      <c r="C5" s="307"/>
      <c r="D5" s="308"/>
    </row>
    <row r="6" s="261" customFormat="1" ht="26.25" customHeight="1" spans="1:4">
      <c r="A6" s="309" t="s">
        <v>122</v>
      </c>
      <c r="B6" s="306">
        <f>B5*0.1</f>
        <v>65157.12</v>
      </c>
      <c r="C6" s="307"/>
      <c r="D6" s="310" t="s">
        <v>123</v>
      </c>
    </row>
    <row r="7" s="261" customFormat="1" ht="26.25" customHeight="1" spans="1:4">
      <c r="A7" s="311" t="s">
        <v>124</v>
      </c>
      <c r="B7" s="306">
        <f>B5-B6</f>
        <v>586414.08</v>
      </c>
      <c r="C7" s="312">
        <f>B7/B5</f>
        <v>0.9</v>
      </c>
      <c r="D7" s="310"/>
    </row>
    <row r="8" s="261" customFormat="1" ht="26.25" customHeight="1" spans="1:4">
      <c r="A8" s="305" t="s">
        <v>125</v>
      </c>
      <c r="B8" s="306">
        <f>B5*0.3</f>
        <v>195471.36</v>
      </c>
      <c r="C8" s="312">
        <f>B8/B5</f>
        <v>0.3</v>
      </c>
      <c r="D8" s="313" t="s">
        <v>126</v>
      </c>
    </row>
    <row r="9" s="261" customFormat="1" ht="26.25" customHeight="1" spans="1:4">
      <c r="A9" s="305" t="s">
        <v>127</v>
      </c>
      <c r="B9" s="314">
        <f>B7*0.0568</f>
        <v>33308.319744</v>
      </c>
      <c r="C9" s="312"/>
      <c r="D9" s="315" t="s">
        <v>128</v>
      </c>
    </row>
    <row r="10" s="261" customFormat="1" ht="26.25" customHeight="1" spans="1:4">
      <c r="A10" s="305" t="s">
        <v>129</v>
      </c>
      <c r="B10" s="314">
        <f>B7-B8-B9</f>
        <v>357634.400256</v>
      </c>
      <c r="C10" s="312">
        <f>B10/B5</f>
        <v>0.54888</v>
      </c>
      <c r="D10" s="316"/>
    </row>
    <row r="11" s="261" customFormat="1" ht="26.25" customHeight="1" spans="1:4">
      <c r="A11" s="305" t="s">
        <v>130</v>
      </c>
      <c r="B11" s="317">
        <f>B10/B5</f>
        <v>0.54888</v>
      </c>
      <c r="C11" s="312"/>
      <c r="D11" s="316"/>
    </row>
    <row r="12" s="261" customFormat="1" customHeight="1" spans="1:4">
      <c r="A12" s="311" t="s">
        <v>131</v>
      </c>
      <c r="B12" s="314">
        <f>SUM(B13:B22)</f>
        <v>300026.165333333</v>
      </c>
      <c r="C12" s="312"/>
      <c r="D12" s="316"/>
    </row>
    <row r="13" s="261" customFormat="1" customHeight="1" spans="1:4">
      <c r="A13" s="305" t="s">
        <v>132</v>
      </c>
      <c r="B13" s="314">
        <f>架构!F35+B5*0.05</f>
        <v>149478.56</v>
      </c>
      <c r="C13" s="312">
        <f>B13/B5</f>
        <v>0.22941247249725</v>
      </c>
      <c r="D13" s="316" t="s">
        <v>133</v>
      </c>
    </row>
    <row r="14" s="261" customFormat="1" customHeight="1" spans="1:4">
      <c r="A14" s="305" t="s">
        <v>134</v>
      </c>
      <c r="B14" s="314">
        <f>256*80</f>
        <v>20480</v>
      </c>
      <c r="C14" s="312">
        <f>B14/B5</f>
        <v>0.0314317146000314</v>
      </c>
      <c r="D14" s="316" t="s">
        <v>135</v>
      </c>
    </row>
    <row r="15" s="261" customFormat="1" customHeight="1" spans="1:4">
      <c r="A15" s="305" t="s">
        <v>136</v>
      </c>
      <c r="B15" s="314">
        <f>256*40</f>
        <v>10240</v>
      </c>
      <c r="C15" s="312">
        <f>B15/B5</f>
        <v>0.0157158573000157</v>
      </c>
      <c r="D15" s="316" t="s">
        <v>137</v>
      </c>
    </row>
    <row r="16" s="261" customFormat="1" customHeight="1" spans="1:4">
      <c r="A16" s="305" t="s">
        <v>138</v>
      </c>
      <c r="B16" s="314">
        <f>256*50</f>
        <v>12800</v>
      </c>
      <c r="C16" s="312">
        <f>B16/B5</f>
        <v>0.0196448216250196</v>
      </c>
      <c r="D16" s="316" t="s">
        <v>139</v>
      </c>
    </row>
    <row r="17" s="261" customFormat="1" customHeight="1" spans="1:4">
      <c r="A17" s="305" t="s">
        <v>140</v>
      </c>
      <c r="B17" s="314">
        <v>1000</v>
      </c>
      <c r="C17" s="312">
        <f>B17/B5</f>
        <v>0.00153475168945466</v>
      </c>
      <c r="D17" s="316"/>
    </row>
    <row r="18" s="261" customFormat="1" customHeight="1" spans="1:4">
      <c r="A18" s="305" t="s">
        <v>141</v>
      </c>
      <c r="B18" s="314">
        <v>2000</v>
      </c>
      <c r="C18" s="312">
        <f>B18/B5</f>
        <v>0.00306950337890932</v>
      </c>
      <c r="D18" s="316"/>
    </row>
    <row r="19" s="261" customFormat="1" customHeight="1" spans="1:4">
      <c r="A19" s="305" t="s">
        <v>142</v>
      </c>
      <c r="B19" s="314">
        <f>B5*0.03</f>
        <v>19547.136</v>
      </c>
      <c r="C19" s="312">
        <f>B19/B5</f>
        <v>0.03</v>
      </c>
      <c r="D19" s="316" t="s">
        <v>143</v>
      </c>
    </row>
    <row r="20" s="261" customFormat="1" customHeight="1" spans="1:4">
      <c r="A20" s="305" t="s">
        <v>144</v>
      </c>
      <c r="B20" s="318">
        <f>投资!D5/(投资!F8*12)</f>
        <v>26666.6666666667</v>
      </c>
      <c r="C20" s="312">
        <f>B20/B5</f>
        <v>0.0409267117187909</v>
      </c>
      <c r="D20" s="319"/>
    </row>
    <row r="21" s="261" customFormat="1" customHeight="1" spans="1:4">
      <c r="A21" s="305" t="s">
        <v>145</v>
      </c>
      <c r="B21" s="318">
        <f>投资!D9/(投资!F5*12)</f>
        <v>28266.6666666667</v>
      </c>
      <c r="C21" s="312">
        <f>B21/B5</f>
        <v>0.0433823144219184</v>
      </c>
      <c r="D21" s="319"/>
    </row>
    <row r="22" s="261" customFormat="1" customHeight="1" spans="1:4">
      <c r="A22" s="305" t="s">
        <v>146</v>
      </c>
      <c r="B22" s="314">
        <f>10000+B5*0.03</f>
        <v>29547.136</v>
      </c>
      <c r="C22" s="312">
        <f>B22/B5</f>
        <v>0.0453475168945466</v>
      </c>
      <c r="D22" s="316"/>
    </row>
    <row r="23" s="261" customFormat="1" ht="38.25" hidden="1" customHeight="1" spans="1:4">
      <c r="A23" s="320" t="s">
        <v>147</v>
      </c>
      <c r="B23" s="321"/>
      <c r="C23" s="312"/>
      <c r="D23" s="322"/>
    </row>
    <row r="24" s="261" customFormat="1" ht="26.25" customHeight="1" spans="1:4">
      <c r="A24" s="323" t="s">
        <v>148</v>
      </c>
      <c r="B24" s="324">
        <f>B10-B12</f>
        <v>57608.2349226667</v>
      </c>
      <c r="C24" s="325">
        <f>B24/B5</f>
        <v>0.0884143358740636</v>
      </c>
      <c r="D24" s="326"/>
    </row>
    <row r="25" s="262" customFormat="1" customHeight="1" spans="1:4">
      <c r="A25" s="327" t="s">
        <v>149</v>
      </c>
      <c r="B25" s="328">
        <v>523437.980917205</v>
      </c>
      <c r="C25" s="328"/>
      <c r="D25" s="291"/>
    </row>
    <row r="26" s="261" customFormat="1" customHeight="1" spans="1:4">
      <c r="A26" s="327" t="s">
        <v>149</v>
      </c>
      <c r="B26" s="328">
        <v>17447.9326972402</v>
      </c>
      <c r="C26" s="328"/>
      <c r="D26" s="264"/>
    </row>
    <row r="27" s="261" customFormat="1" customHeight="1" spans="1:4">
      <c r="A27" s="292"/>
      <c r="B27" s="293"/>
      <c r="C27" s="293"/>
      <c r="D27" s="264"/>
    </row>
    <row r="28" s="261" customFormat="1" customHeight="1" spans="1:4">
      <c r="A28" s="292"/>
      <c r="B28" s="293"/>
      <c r="C28" s="293"/>
      <c r="D28" s="264"/>
    </row>
    <row r="29" s="261" customFormat="1" customHeight="1" spans="1:4">
      <c r="A29" s="292"/>
      <c r="B29" s="293"/>
      <c r="C29" s="293"/>
      <c r="D29" s="264"/>
    </row>
    <row r="30" s="261" customFormat="1" customHeight="1" spans="1:4">
      <c r="A30" s="292"/>
      <c r="B30" s="293"/>
      <c r="C30" s="293"/>
      <c r="D30" s="264"/>
    </row>
    <row r="31" s="261" customFormat="1" customHeight="1" spans="1:4">
      <c r="A31" s="292"/>
      <c r="B31" s="293"/>
      <c r="C31" s="293"/>
      <c r="D31" s="264"/>
    </row>
    <row r="32" s="261" customFormat="1" customHeight="1" spans="1:4">
      <c r="A32" s="292"/>
      <c r="B32" s="293"/>
      <c r="C32" s="293"/>
      <c r="D32" s="264"/>
    </row>
    <row r="33" s="261" customFormat="1" customHeight="1" spans="1:4">
      <c r="A33" s="292"/>
      <c r="B33" s="293"/>
      <c r="C33" s="293"/>
      <c r="D33" s="264"/>
    </row>
  </sheetData>
  <mergeCells count="1">
    <mergeCell ref="A2:D2"/>
  </mergeCells>
  <printOptions horizontalCentered="1"/>
  <pageMargins left="0" right="0" top="0.196527777777778" bottom="0.156944444444444" header="0.156944444444444" footer="0.156944444444444"/>
  <pageSetup paperSize="8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A1:D24"/>
  <sheetViews>
    <sheetView topLeftCell="A7" workbookViewId="0">
      <selection activeCell="B13" sqref="B13"/>
    </sheetView>
  </sheetViews>
  <sheetFormatPr defaultColWidth="5.125" defaultRowHeight="24.75" customHeight="1" outlineLevelCol="3"/>
  <cols>
    <col min="1" max="1" width="34" style="263" customWidth="1"/>
    <col min="2" max="2" width="31.375" style="264" customWidth="1"/>
    <col min="3" max="3" width="28.75" style="264" customWidth="1"/>
    <col min="4" max="9" width="4.625" style="265" customWidth="1"/>
    <col min="10" max="10" width="5.75" style="265" customWidth="1"/>
    <col min="11" max="16384" width="5.125" style="265"/>
  </cols>
  <sheetData>
    <row r="1" s="99" customFormat="1" ht="29.25" customHeight="1" spans="1:3">
      <c r="A1" s="100"/>
      <c r="B1" s="102"/>
      <c r="C1" s="121" t="s">
        <v>0</v>
      </c>
    </row>
    <row r="2" ht="25.5" customHeight="1" spans="1:3">
      <c r="A2" s="266" t="s">
        <v>150</v>
      </c>
      <c r="B2" s="266"/>
      <c r="C2" s="266"/>
    </row>
    <row r="3" s="260" customFormat="1" ht="19.5" customHeight="1" spans="1:4">
      <c r="A3" s="267"/>
      <c r="B3" s="268"/>
      <c r="C3" s="142" t="s">
        <v>151</v>
      </c>
      <c r="D3" s="269"/>
    </row>
    <row r="4" s="260" customFormat="1" ht="38.25" customHeight="1" spans="1:3">
      <c r="A4" s="270" t="s">
        <v>152</v>
      </c>
      <c r="B4" s="271" t="s">
        <v>5</v>
      </c>
      <c r="C4" s="272" t="s">
        <v>65</v>
      </c>
    </row>
    <row r="5" s="261" customFormat="1" ht="38.25" customHeight="1" spans="1:3">
      <c r="A5" s="273" t="s">
        <v>121</v>
      </c>
      <c r="B5" s="274">
        <f>经营分析!D5/10000</f>
        <v>459.3277</v>
      </c>
      <c r="C5" s="275"/>
    </row>
    <row r="6" s="261" customFormat="1" ht="38.25" customHeight="1" spans="1:3">
      <c r="A6" s="276" t="s">
        <v>153</v>
      </c>
      <c r="B6" s="277">
        <f>B5*0.056</f>
        <v>25.7223512</v>
      </c>
      <c r="C6" s="278"/>
    </row>
    <row r="7" s="261" customFormat="1" ht="38.25" customHeight="1" spans="1:3">
      <c r="A7" s="276" t="s">
        <v>154</v>
      </c>
      <c r="B7" s="277">
        <v>0</v>
      </c>
      <c r="C7" s="278"/>
    </row>
    <row r="8" s="261" customFormat="1" ht="38.25" customHeight="1" spans="1:3">
      <c r="A8" s="279" t="s">
        <v>155</v>
      </c>
      <c r="B8" s="277">
        <f>经营分析!D18/10000</f>
        <v>0</v>
      </c>
      <c r="C8" s="280" t="s">
        <v>156</v>
      </c>
    </row>
    <row r="9" s="261" customFormat="1" ht="38.25" customHeight="1" spans="1:3">
      <c r="A9" s="273" t="s">
        <v>157</v>
      </c>
      <c r="B9" s="277">
        <f>B5-B6-B7-B8</f>
        <v>433.6053488</v>
      </c>
      <c r="C9" s="280"/>
    </row>
    <row r="10" s="261" customFormat="1" ht="38.25" customHeight="1" spans="1:3">
      <c r="A10" s="276" t="s">
        <v>158</v>
      </c>
      <c r="B10" s="277" t="e">
        <f>经营分析!D33/10000</f>
        <v>#REF!</v>
      </c>
      <c r="C10" s="278"/>
    </row>
    <row r="11" s="261" customFormat="1" ht="38.25" customHeight="1" spans="1:3">
      <c r="A11" s="279" t="s">
        <v>159</v>
      </c>
      <c r="B11" s="277" t="e">
        <f>经营分析!D34/10000</f>
        <v>#REF!</v>
      </c>
      <c r="C11" s="278"/>
    </row>
    <row r="12" s="261" customFormat="1" ht="38.25" customHeight="1" spans="1:3">
      <c r="A12" s="273" t="s">
        <v>160</v>
      </c>
      <c r="B12" s="281" t="e">
        <f>B9-B10-B11</f>
        <v>#REF!</v>
      </c>
      <c r="C12" s="275"/>
    </row>
    <row r="13" s="261" customFormat="1" ht="38.25" customHeight="1" spans="1:3">
      <c r="A13" s="282" t="s">
        <v>161</v>
      </c>
      <c r="B13" s="281" t="e">
        <f>投资!#REF!</f>
        <v>#REF!</v>
      </c>
      <c r="C13" s="275"/>
    </row>
    <row r="14" s="261" customFormat="1" ht="38.25" hidden="1" customHeight="1" spans="1:3">
      <c r="A14" s="283" t="s">
        <v>147</v>
      </c>
      <c r="B14" s="284"/>
      <c r="C14" s="285"/>
    </row>
    <row r="15" s="261" customFormat="1" ht="38.25" customHeight="1" spans="1:3">
      <c r="A15" s="286" t="s">
        <v>162</v>
      </c>
      <c r="B15" s="287" t="e">
        <f>B12/(B13+B14)</f>
        <v>#REF!</v>
      </c>
      <c r="C15" s="288"/>
    </row>
    <row r="16" s="262" customFormat="1" customHeight="1" spans="1:3">
      <c r="A16" s="289"/>
      <c r="B16" s="290"/>
      <c r="C16" s="291"/>
    </row>
    <row r="17" s="261" customFormat="1" customHeight="1" spans="1:3">
      <c r="A17" s="292"/>
      <c r="B17" s="264"/>
      <c r="C17" s="264"/>
    </row>
    <row r="18" s="261" customFormat="1" customHeight="1" spans="1:3">
      <c r="A18" s="292"/>
      <c r="B18" s="264"/>
      <c r="C18" s="264"/>
    </row>
    <row r="19" s="261" customFormat="1" customHeight="1" spans="1:3">
      <c r="A19" s="292"/>
      <c r="B19" s="264"/>
      <c r="C19" s="264"/>
    </row>
    <row r="20" s="261" customFormat="1" customHeight="1" spans="1:3">
      <c r="A20" s="292"/>
      <c r="B20" s="264"/>
      <c r="C20" s="264"/>
    </row>
    <row r="21" s="261" customFormat="1" customHeight="1" spans="1:3">
      <c r="A21" s="292"/>
      <c r="B21" s="264"/>
      <c r="C21" s="264"/>
    </row>
    <row r="22" s="261" customFormat="1" customHeight="1" spans="1:3">
      <c r="A22" s="292"/>
      <c r="B22" s="264"/>
      <c r="C22" s="264"/>
    </row>
    <row r="23" s="261" customFormat="1" customHeight="1" spans="1:3">
      <c r="A23" s="292"/>
      <c r="B23" s="264"/>
      <c r="C23" s="264"/>
    </row>
    <row r="24" s="261" customFormat="1" customHeight="1" spans="1:3">
      <c r="A24" s="292"/>
      <c r="B24" s="264"/>
      <c r="C24" s="264"/>
    </row>
  </sheetData>
  <mergeCells count="1">
    <mergeCell ref="A2:C2"/>
  </mergeCells>
  <printOptions horizontalCentered="1"/>
  <pageMargins left="0" right="0" top="0.196527777777778" bottom="0.156944444444444" header="0.156944444444444" footer="0.156944444444444"/>
  <pageSetup paperSize="8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workbookViewId="0">
      <pane xSplit="3" ySplit="4" topLeftCell="D29" activePane="bottomRight" state="frozen"/>
      <selection/>
      <selection pane="topRight"/>
      <selection pane="bottomLeft"/>
      <selection pane="bottomRight" activeCell="B13" sqref="B13"/>
    </sheetView>
  </sheetViews>
  <sheetFormatPr defaultColWidth="9" defaultRowHeight="13.5"/>
  <cols>
    <col min="1" max="1" width="4.125" style="154" customWidth="1"/>
    <col min="2" max="2" width="25" style="154" customWidth="1"/>
    <col min="3" max="3" width="12.25" style="154" hidden="1" customWidth="1"/>
    <col min="4" max="4" width="23.375" style="155" customWidth="1"/>
    <col min="5" max="5" width="10.125" style="155" hidden="1" customWidth="1"/>
    <col min="6" max="6" width="12.75" style="155" hidden="1" customWidth="1"/>
    <col min="7" max="8" width="11.5" style="155" hidden="1" customWidth="1"/>
    <col min="9" max="9" width="11.25" style="155" hidden="1" customWidth="1"/>
    <col min="10" max="10" width="11.5" style="155" hidden="1" customWidth="1"/>
    <col min="11" max="11" width="11.25" style="155" hidden="1" customWidth="1"/>
    <col min="12" max="13" width="11.125" style="155" hidden="1" customWidth="1"/>
    <col min="14" max="14" width="11.25" style="155" hidden="1" customWidth="1"/>
    <col min="15" max="15" width="11.125" style="155" hidden="1" customWidth="1"/>
    <col min="16" max="16" width="11.625" style="155" hidden="1" customWidth="1"/>
    <col min="17" max="17" width="11.875" style="155" hidden="1" customWidth="1"/>
    <col min="18" max="18" width="13.25" style="155" hidden="1" customWidth="1"/>
    <col min="19" max="19" width="43.625" style="155" customWidth="1"/>
    <col min="20" max="20" width="10" style="155" customWidth="1"/>
    <col min="21" max="21" width="18" style="155" customWidth="1"/>
    <col min="22" max="16384" width="9" style="155"/>
  </cols>
  <sheetData>
    <row r="1" ht="36" customHeight="1" spans="1:19">
      <c r="A1" s="156" t="s">
        <v>163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ht="22.5" customHeight="1" spans="1:19">
      <c r="A2" s="157" t="s">
        <v>164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 t="s">
        <v>2</v>
      </c>
    </row>
    <row r="3" ht="24" customHeight="1" spans="1:21">
      <c r="A3" s="159" t="s">
        <v>165</v>
      </c>
      <c r="B3" s="160"/>
      <c r="C3" s="161" t="s">
        <v>166</v>
      </c>
      <c r="D3" s="162" t="s">
        <v>167</v>
      </c>
      <c r="E3" s="163"/>
      <c r="F3" s="164" t="s">
        <v>168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250" t="s">
        <v>169</v>
      </c>
      <c r="U3" s="251"/>
    </row>
    <row r="4" ht="24" customHeight="1" spans="1:21">
      <c r="A4" s="165" t="s">
        <v>152</v>
      </c>
      <c r="B4" s="166"/>
      <c r="C4" s="167"/>
      <c r="D4" s="168"/>
      <c r="E4" s="169"/>
      <c r="F4" s="170" t="s">
        <v>170</v>
      </c>
      <c r="G4" s="170" t="s">
        <v>171</v>
      </c>
      <c r="H4" s="170" t="s">
        <v>172</v>
      </c>
      <c r="I4" s="170" t="s">
        <v>173</v>
      </c>
      <c r="J4" s="170" t="s">
        <v>174</v>
      </c>
      <c r="K4" s="170" t="s">
        <v>175</v>
      </c>
      <c r="L4" s="170" t="s">
        <v>176</v>
      </c>
      <c r="M4" s="170" t="s">
        <v>177</v>
      </c>
      <c r="N4" s="170" t="s">
        <v>178</v>
      </c>
      <c r="O4" s="170" t="s">
        <v>179</v>
      </c>
      <c r="P4" s="170" t="s">
        <v>180</v>
      </c>
      <c r="Q4" s="170" t="s">
        <v>181</v>
      </c>
      <c r="R4" s="170" t="s">
        <v>23</v>
      </c>
      <c r="S4" s="252"/>
      <c r="U4" s="251"/>
    </row>
    <row r="5" ht="27.75" customHeight="1" spans="1:21">
      <c r="A5" s="171" t="s">
        <v>182</v>
      </c>
      <c r="B5" s="172"/>
      <c r="C5" s="173">
        <v>5314134</v>
      </c>
      <c r="D5" s="174">
        <f t="shared" ref="D5:D30" si="0">R5</f>
        <v>4593277</v>
      </c>
      <c r="E5" s="175" t="e">
        <f>D5/#REF!</f>
        <v>#REF!</v>
      </c>
      <c r="F5" s="176">
        <f t="shared" ref="F5:Q5" si="1">F6+F7</f>
        <v>429581</v>
      </c>
      <c r="G5" s="176">
        <f t="shared" si="1"/>
        <v>398418</v>
      </c>
      <c r="H5" s="176">
        <f t="shared" si="1"/>
        <v>372924</v>
      </c>
      <c r="I5" s="176">
        <f t="shared" si="1"/>
        <v>369620</v>
      </c>
      <c r="J5" s="176">
        <f t="shared" si="1"/>
        <v>411484</v>
      </c>
      <c r="K5" s="176">
        <f t="shared" si="1"/>
        <v>388221</v>
      </c>
      <c r="L5" s="176">
        <f t="shared" si="1"/>
        <v>371305</v>
      </c>
      <c r="M5" s="176">
        <f t="shared" si="1"/>
        <v>380580</v>
      </c>
      <c r="N5" s="176">
        <f t="shared" si="1"/>
        <v>376973</v>
      </c>
      <c r="O5" s="176">
        <f t="shared" si="1"/>
        <v>361531</v>
      </c>
      <c r="P5" s="176">
        <f t="shared" si="1"/>
        <v>333852</v>
      </c>
      <c r="Q5" s="176">
        <f t="shared" si="1"/>
        <v>398788</v>
      </c>
      <c r="R5" s="182">
        <f>SUM(F5:Q5)</f>
        <v>4593277</v>
      </c>
      <c r="S5" s="253" t="s">
        <v>183</v>
      </c>
      <c r="U5" s="251"/>
    </row>
    <row r="6" ht="30" customHeight="1" spans="1:21">
      <c r="A6" s="177" t="s">
        <v>184</v>
      </c>
      <c r="B6" s="178"/>
      <c r="C6" s="179">
        <v>3731430</v>
      </c>
      <c r="D6" s="179">
        <f t="shared" si="0"/>
        <v>4593277</v>
      </c>
      <c r="E6" s="175" t="e">
        <f>D6/#REF!</f>
        <v>#REF!</v>
      </c>
      <c r="F6" s="180">
        <v>429581</v>
      </c>
      <c r="G6" s="181">
        <v>398418</v>
      </c>
      <c r="H6" s="182">
        <v>372924</v>
      </c>
      <c r="I6" s="180">
        <v>369620</v>
      </c>
      <c r="J6" s="239">
        <v>411484</v>
      </c>
      <c r="K6" s="240">
        <v>388221</v>
      </c>
      <c r="L6" s="241">
        <v>371305</v>
      </c>
      <c r="M6" s="182">
        <v>380580</v>
      </c>
      <c r="N6" s="182">
        <v>376973</v>
      </c>
      <c r="O6" s="241">
        <v>361531</v>
      </c>
      <c r="P6" s="241">
        <v>333852</v>
      </c>
      <c r="Q6" s="182">
        <v>398788</v>
      </c>
      <c r="R6" s="182">
        <f t="shared" ref="R6:R33" si="2">SUM(F6:Q6)</f>
        <v>4593277</v>
      </c>
      <c r="S6" s="253" t="s">
        <v>185</v>
      </c>
      <c r="U6" s="251"/>
    </row>
    <row r="7" ht="24" customHeight="1" spans="1:19">
      <c r="A7" s="183" t="s">
        <v>186</v>
      </c>
      <c r="B7" s="184"/>
      <c r="C7" s="179">
        <v>1582704</v>
      </c>
      <c r="D7" s="179">
        <f t="shared" si="0"/>
        <v>0</v>
      </c>
      <c r="E7" s="185" t="e">
        <f>D7/#REF!</f>
        <v>#REF!</v>
      </c>
      <c r="F7" s="176">
        <f t="shared" ref="F7:Q7" si="3">SUM(F8:F16)</f>
        <v>0</v>
      </c>
      <c r="G7" s="176">
        <f t="shared" si="3"/>
        <v>0</v>
      </c>
      <c r="H7" s="176">
        <f t="shared" si="3"/>
        <v>0</v>
      </c>
      <c r="I7" s="176">
        <f t="shared" si="3"/>
        <v>0</v>
      </c>
      <c r="J7" s="176">
        <f t="shared" si="3"/>
        <v>0</v>
      </c>
      <c r="K7" s="176">
        <f t="shared" si="3"/>
        <v>0</v>
      </c>
      <c r="L7" s="176">
        <f t="shared" si="3"/>
        <v>0</v>
      </c>
      <c r="M7" s="176">
        <f t="shared" si="3"/>
        <v>0</v>
      </c>
      <c r="N7" s="176">
        <f t="shared" si="3"/>
        <v>0</v>
      </c>
      <c r="O7" s="176">
        <f t="shared" si="3"/>
        <v>0</v>
      </c>
      <c r="P7" s="176">
        <f t="shared" si="3"/>
        <v>0</v>
      </c>
      <c r="Q7" s="176">
        <f t="shared" si="3"/>
        <v>0</v>
      </c>
      <c r="R7" s="182">
        <f t="shared" si="2"/>
        <v>0</v>
      </c>
      <c r="S7" s="253"/>
    </row>
    <row r="8" ht="45" customHeight="1" spans="1:19">
      <c r="A8" s="186"/>
      <c r="B8" s="187"/>
      <c r="C8" s="188"/>
      <c r="D8" s="188"/>
      <c r="E8" s="189"/>
      <c r="F8" s="188"/>
      <c r="G8" s="188"/>
      <c r="H8" s="188"/>
      <c r="I8" s="188"/>
      <c r="J8" s="242"/>
      <c r="K8" s="243"/>
      <c r="L8" s="244"/>
      <c r="M8" s="244"/>
      <c r="N8" s="244"/>
      <c r="O8" s="245"/>
      <c r="P8" s="245"/>
      <c r="Q8" s="245"/>
      <c r="R8" s="249"/>
      <c r="S8" s="253"/>
    </row>
    <row r="9" ht="29.25" customHeight="1" spans="1:19">
      <c r="A9" s="190"/>
      <c r="B9" s="191"/>
      <c r="C9" s="188"/>
      <c r="D9" s="188"/>
      <c r="E9" s="189"/>
      <c r="F9" s="188"/>
      <c r="G9" s="188"/>
      <c r="H9" s="188"/>
      <c r="I9" s="188"/>
      <c r="J9" s="242"/>
      <c r="K9" s="243"/>
      <c r="L9" s="244"/>
      <c r="M9" s="244"/>
      <c r="N9" s="244"/>
      <c r="O9" s="245"/>
      <c r="P9" s="245"/>
      <c r="Q9" s="245"/>
      <c r="R9" s="249"/>
      <c r="S9" s="253"/>
    </row>
    <row r="10" ht="29.25" customHeight="1" spans="1:19">
      <c r="A10" s="190"/>
      <c r="B10" s="191"/>
      <c r="C10" s="188"/>
      <c r="D10" s="188"/>
      <c r="E10" s="189"/>
      <c r="F10" s="188"/>
      <c r="G10" s="188"/>
      <c r="H10" s="188"/>
      <c r="I10" s="188"/>
      <c r="J10" s="242"/>
      <c r="K10" s="243"/>
      <c r="L10" s="244"/>
      <c r="M10" s="244"/>
      <c r="N10" s="244"/>
      <c r="O10" s="245"/>
      <c r="P10" s="245"/>
      <c r="Q10" s="245"/>
      <c r="R10" s="249"/>
      <c r="S10" s="253"/>
    </row>
    <row r="11" ht="29.25" customHeight="1" spans="1:19">
      <c r="A11" s="190"/>
      <c r="B11" s="191"/>
      <c r="C11" s="188"/>
      <c r="D11" s="188"/>
      <c r="E11" s="189"/>
      <c r="F11" s="188"/>
      <c r="G11" s="188"/>
      <c r="H11" s="188"/>
      <c r="I11" s="188"/>
      <c r="J11" s="242"/>
      <c r="K11" s="243"/>
      <c r="L11" s="244"/>
      <c r="M11" s="244"/>
      <c r="N11" s="244"/>
      <c r="O11" s="245"/>
      <c r="P11" s="245"/>
      <c r="Q11" s="245"/>
      <c r="R11" s="249"/>
      <c r="S11" s="253"/>
    </row>
    <row r="12" ht="21" customHeight="1" spans="1:19">
      <c r="A12" s="190"/>
      <c r="B12" s="191"/>
      <c r="C12" s="192"/>
      <c r="D12" s="188"/>
      <c r="E12" s="189"/>
      <c r="F12" s="188"/>
      <c r="G12" s="188"/>
      <c r="H12" s="188"/>
      <c r="I12" s="188"/>
      <c r="J12" s="242"/>
      <c r="K12" s="188"/>
      <c r="L12" s="246"/>
      <c r="M12" s="244"/>
      <c r="N12" s="244"/>
      <c r="O12" s="247"/>
      <c r="P12" s="247"/>
      <c r="Q12" s="247"/>
      <c r="R12" s="249"/>
      <c r="S12" s="253"/>
    </row>
    <row r="13" ht="29.25" customHeight="1" spans="1:19">
      <c r="A13" s="190"/>
      <c r="B13" s="193"/>
      <c r="C13" s="194"/>
      <c r="D13" s="194"/>
      <c r="E13" s="195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223"/>
      <c r="S13" s="253"/>
    </row>
    <row r="14" ht="27" customHeight="1" spans="1:19">
      <c r="A14" s="190"/>
      <c r="B14" s="193"/>
      <c r="C14" s="197"/>
      <c r="D14" s="197"/>
      <c r="E14" s="198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254"/>
      <c r="S14" s="253"/>
    </row>
    <row r="15" ht="34.5" customHeight="1" spans="1:19">
      <c r="A15" s="190"/>
      <c r="B15" s="200"/>
      <c r="C15" s="194"/>
      <c r="D15" s="194"/>
      <c r="E15" s="195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223"/>
      <c r="S15" s="253"/>
    </row>
    <row r="16" ht="21.75" customHeight="1" spans="1:19">
      <c r="A16" s="190"/>
      <c r="B16" s="193"/>
      <c r="C16" s="194"/>
      <c r="D16" s="194"/>
      <c r="E16" s="195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223"/>
      <c r="S16" s="253"/>
    </row>
    <row r="17" ht="18.75" customHeight="1" spans="1:19">
      <c r="A17" s="201"/>
      <c r="B17" s="202"/>
      <c r="C17" s="203"/>
      <c r="D17" s="203"/>
      <c r="E17" s="204"/>
      <c r="F17" s="205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5"/>
      <c r="S17" s="255"/>
    </row>
    <row r="18" ht="18.75" customHeight="1" spans="1:19">
      <c r="A18" s="177"/>
      <c r="B18" s="178"/>
      <c r="C18" s="207"/>
      <c r="D18" s="208"/>
      <c r="E18" s="209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55"/>
    </row>
    <row r="19" ht="18.75" customHeight="1" spans="1:19">
      <c r="A19" s="211" t="s">
        <v>187</v>
      </c>
      <c r="B19" s="212" t="s">
        <v>188</v>
      </c>
      <c r="C19" s="213">
        <v>743386.2</v>
      </c>
      <c r="D19" s="213">
        <f t="shared" si="0"/>
        <v>807399.15</v>
      </c>
      <c r="E19" s="214" t="e">
        <f>D19/#REF!</f>
        <v>#REF!</v>
      </c>
      <c r="F19" s="215">
        <f>88695.35+8013</f>
        <v>96708.35</v>
      </c>
      <c r="G19" s="215">
        <f>64857.26+7712</f>
        <v>72569.26</v>
      </c>
      <c r="H19" s="216">
        <v>58357</v>
      </c>
      <c r="I19" s="245">
        <v>62890.37</v>
      </c>
      <c r="J19" s="216">
        <v>64195</v>
      </c>
      <c r="K19" s="215">
        <v>65735.27</v>
      </c>
      <c r="L19" s="216">
        <v>59378.12</v>
      </c>
      <c r="M19" s="245">
        <f>55347.61+8196</f>
        <v>63543.61</v>
      </c>
      <c r="N19" s="245">
        <f>58287.8+8088</f>
        <v>66375.8</v>
      </c>
      <c r="O19" s="245">
        <f>8173+66105.67</f>
        <v>74278.67</v>
      </c>
      <c r="P19" s="245">
        <f>8348+49334.7</f>
        <v>57682.7</v>
      </c>
      <c r="Q19" s="245">
        <f>57265+8420</f>
        <v>65685</v>
      </c>
      <c r="R19" s="223">
        <f t="shared" si="2"/>
        <v>807399.15</v>
      </c>
      <c r="S19" s="253"/>
    </row>
    <row r="20" ht="18.75" customHeight="1" spans="1:19">
      <c r="A20" s="217"/>
      <c r="B20" s="212" t="s">
        <v>189</v>
      </c>
      <c r="C20" s="218">
        <v>14867.724</v>
      </c>
      <c r="D20" s="213">
        <f t="shared" si="0"/>
        <v>16147.983</v>
      </c>
      <c r="E20" s="214" t="e">
        <f>D20/#REF!</f>
        <v>#REF!</v>
      </c>
      <c r="F20" s="219">
        <f t="shared" ref="F20:Q20" si="4">F19*0.02</f>
        <v>1934.167</v>
      </c>
      <c r="G20" s="219">
        <f t="shared" si="4"/>
        <v>1451.3852</v>
      </c>
      <c r="H20" s="219">
        <f t="shared" si="4"/>
        <v>1167.14</v>
      </c>
      <c r="I20" s="219">
        <f t="shared" si="4"/>
        <v>1257.8074</v>
      </c>
      <c r="J20" s="219">
        <f t="shared" si="4"/>
        <v>1283.9</v>
      </c>
      <c r="K20" s="219">
        <f t="shared" si="4"/>
        <v>1314.7054</v>
      </c>
      <c r="L20" s="219">
        <f t="shared" si="4"/>
        <v>1187.5624</v>
      </c>
      <c r="M20" s="219">
        <f t="shared" si="4"/>
        <v>1270.8722</v>
      </c>
      <c r="N20" s="219">
        <f t="shared" si="4"/>
        <v>1327.516</v>
      </c>
      <c r="O20" s="219">
        <f t="shared" si="4"/>
        <v>1485.5734</v>
      </c>
      <c r="P20" s="219">
        <f t="shared" si="4"/>
        <v>1153.654</v>
      </c>
      <c r="Q20" s="219">
        <f t="shared" si="4"/>
        <v>1313.7</v>
      </c>
      <c r="R20" s="223">
        <f t="shared" si="2"/>
        <v>16147.983</v>
      </c>
      <c r="S20" s="253"/>
    </row>
    <row r="21" ht="18.75" customHeight="1" spans="1:19">
      <c r="A21" s="217"/>
      <c r="B21" s="220" t="s">
        <v>190</v>
      </c>
      <c r="C21" s="218">
        <v>71339.66</v>
      </c>
      <c r="D21" s="218">
        <f t="shared" si="0"/>
        <v>83685.51</v>
      </c>
      <c r="E21" s="221" t="e">
        <f>D21/#REF!</f>
        <v>#REF!</v>
      </c>
      <c r="F21" s="215">
        <f>5986.36</f>
        <v>5986.36</v>
      </c>
      <c r="G21" s="222">
        <v>4858.92</v>
      </c>
      <c r="H21" s="215">
        <v>4858.92</v>
      </c>
      <c r="I21" s="245">
        <v>5422.64</v>
      </c>
      <c r="J21" s="219">
        <v>5813.24</v>
      </c>
      <c r="K21" s="222">
        <v>5813.24</v>
      </c>
      <c r="L21" s="245">
        <f>4444.8+116.36</f>
        <v>4561.16</v>
      </c>
      <c r="M21" s="245">
        <f>8097.6+127.7</f>
        <v>8225.3</v>
      </c>
      <c r="N21" s="245">
        <f>5430.6+6564.92+150.59+453.42</f>
        <v>12599.53</v>
      </c>
      <c r="O21" s="245">
        <f>5874+2192.3+150.65+150.65</f>
        <v>8367.6</v>
      </c>
      <c r="P21" s="245">
        <f>5874+2192.3+150.65+150.65</f>
        <v>8367.6</v>
      </c>
      <c r="Q21" s="245">
        <f>6317.4+2192.3+150.65+150.65</f>
        <v>8811</v>
      </c>
      <c r="R21" s="223">
        <f t="shared" si="2"/>
        <v>83685.51</v>
      </c>
      <c r="S21" s="255"/>
    </row>
    <row r="22" ht="18.75" customHeight="1" spans="1:19">
      <c r="A22" s="217"/>
      <c r="B22" s="220" t="s">
        <v>191</v>
      </c>
      <c r="C22" s="218">
        <v>18905.7</v>
      </c>
      <c r="D22" s="218">
        <f t="shared" si="0"/>
        <v>5125.8</v>
      </c>
      <c r="E22" s="221" t="e">
        <f>D22/#REF!</f>
        <v>#REF!</v>
      </c>
      <c r="F22" s="215"/>
      <c r="G22" s="215">
        <f>9092-7712</f>
        <v>1380</v>
      </c>
      <c r="H22" s="222"/>
      <c r="I22" s="219"/>
      <c r="J22" s="219">
        <v>135.5</v>
      </c>
      <c r="K22" s="222">
        <f>200.7+1020</f>
        <v>1220.7</v>
      </c>
      <c r="L22" s="245">
        <f>165.6+345</f>
        <v>510.6</v>
      </c>
      <c r="M22" s="219"/>
      <c r="N22" s="219"/>
      <c r="O22" s="245"/>
      <c r="P22" s="245">
        <v>1580</v>
      </c>
      <c r="Q22" s="245">
        <v>299</v>
      </c>
      <c r="R22" s="223">
        <f t="shared" si="2"/>
        <v>5125.8</v>
      </c>
      <c r="S22" s="255"/>
    </row>
    <row r="23" ht="22.5" customHeight="1" spans="1:19">
      <c r="A23" s="217"/>
      <c r="B23" s="220" t="s">
        <v>192</v>
      </c>
      <c r="C23" s="218">
        <v>45261.85</v>
      </c>
      <c r="D23" s="218">
        <f t="shared" si="0"/>
        <v>19492.5</v>
      </c>
      <c r="E23" s="221" t="e">
        <f>D23/#REF!</f>
        <v>#REF!</v>
      </c>
      <c r="F23" s="215">
        <v>832</v>
      </c>
      <c r="G23" s="215">
        <v>6800</v>
      </c>
      <c r="H23" s="219"/>
      <c r="I23" s="219"/>
      <c r="J23" s="219">
        <v>8</v>
      </c>
      <c r="K23" s="219">
        <v>96.5</v>
      </c>
      <c r="L23" s="245">
        <v>558.4</v>
      </c>
      <c r="M23" s="245">
        <v>2885.7</v>
      </c>
      <c r="N23" s="245">
        <f>3100+148.7</f>
        <v>3248.7</v>
      </c>
      <c r="O23" s="245">
        <f>270.1+3114</f>
        <v>3384.1</v>
      </c>
      <c r="P23" s="245">
        <v>414</v>
      </c>
      <c r="Q23" s="245">
        <v>1265.1</v>
      </c>
      <c r="R23" s="223">
        <f t="shared" si="2"/>
        <v>19492.5</v>
      </c>
      <c r="S23" s="253"/>
    </row>
    <row r="24" ht="18.75" customHeight="1" spans="1:19">
      <c r="A24" s="217"/>
      <c r="B24" s="220" t="s">
        <v>193</v>
      </c>
      <c r="C24" s="218">
        <v>509264.8</v>
      </c>
      <c r="D24" s="213">
        <f t="shared" si="0"/>
        <v>618151.6</v>
      </c>
      <c r="E24" s="214" t="e">
        <f>D24/#REF!</f>
        <v>#REF!</v>
      </c>
      <c r="F24" s="223"/>
      <c r="G24" s="223">
        <v>85888</v>
      </c>
      <c r="H24" s="222">
        <v>44608.3</v>
      </c>
      <c r="I24" s="245">
        <v>45413.5</v>
      </c>
      <c r="J24" s="219">
        <v>43316.9</v>
      </c>
      <c r="K24" s="219"/>
      <c r="L24" s="245">
        <v>98712.9</v>
      </c>
      <c r="M24" s="245">
        <v>71047.9</v>
      </c>
      <c r="N24" s="219"/>
      <c r="O24" s="245"/>
      <c r="P24" s="245">
        <v>142560</v>
      </c>
      <c r="Q24" s="245">
        <v>86604.1</v>
      </c>
      <c r="R24" s="223">
        <f t="shared" si="2"/>
        <v>618151.6</v>
      </c>
      <c r="S24" s="255"/>
    </row>
    <row r="25" ht="18.75" customHeight="1" spans="1:19">
      <c r="A25" s="217"/>
      <c r="B25" s="224" t="s">
        <v>194</v>
      </c>
      <c r="C25" s="213">
        <v>43000</v>
      </c>
      <c r="D25" s="213">
        <f t="shared" si="0"/>
        <v>49084</v>
      </c>
      <c r="E25" s="214" t="e">
        <f>D25/#REF!</f>
        <v>#REF!</v>
      </c>
      <c r="F25" s="223"/>
      <c r="G25" s="223"/>
      <c r="H25" s="223"/>
      <c r="I25" s="223"/>
      <c r="J25" s="223">
        <v>40000</v>
      </c>
      <c r="K25" s="223"/>
      <c r="L25" s="248"/>
      <c r="M25" s="223"/>
      <c r="N25" s="223"/>
      <c r="O25" s="245">
        <v>9084</v>
      </c>
      <c r="P25" s="223"/>
      <c r="Q25" s="219"/>
      <c r="R25" s="223">
        <f t="shared" si="2"/>
        <v>49084</v>
      </c>
      <c r="S25" s="256"/>
    </row>
    <row r="26" ht="18.75" customHeight="1" spans="1:19">
      <c r="A26" s="217"/>
      <c r="B26" s="220" t="s">
        <v>195</v>
      </c>
      <c r="C26" s="213">
        <v>2985.144</v>
      </c>
      <c r="D26" s="213">
        <f t="shared" si="0"/>
        <v>3674.6216</v>
      </c>
      <c r="E26" s="214" t="e">
        <f>D26/#REF!</f>
        <v>#REF!</v>
      </c>
      <c r="F26" s="225">
        <f>F6*0.0008</f>
        <v>343.6648</v>
      </c>
      <c r="G26" s="225">
        <f t="shared" ref="G26:Q26" si="5">G6*0.0008</f>
        <v>318.7344</v>
      </c>
      <c r="H26" s="225">
        <f t="shared" si="5"/>
        <v>298.3392</v>
      </c>
      <c r="I26" s="225">
        <f t="shared" si="5"/>
        <v>295.696</v>
      </c>
      <c r="J26" s="225">
        <f t="shared" si="5"/>
        <v>329.1872</v>
      </c>
      <c r="K26" s="225">
        <f t="shared" si="5"/>
        <v>310.5768</v>
      </c>
      <c r="L26" s="225">
        <f t="shared" si="5"/>
        <v>297.044</v>
      </c>
      <c r="M26" s="225">
        <f t="shared" si="5"/>
        <v>304.464</v>
      </c>
      <c r="N26" s="225">
        <f t="shared" si="5"/>
        <v>301.5784</v>
      </c>
      <c r="O26" s="225">
        <f t="shared" si="5"/>
        <v>289.2248</v>
      </c>
      <c r="P26" s="225">
        <f t="shared" si="5"/>
        <v>267.0816</v>
      </c>
      <c r="Q26" s="225">
        <f t="shared" si="5"/>
        <v>319.0304</v>
      </c>
      <c r="R26" s="223">
        <f t="shared" si="2"/>
        <v>3674.6216</v>
      </c>
      <c r="S26" s="255" t="s">
        <v>196</v>
      </c>
    </row>
    <row r="27" ht="18.75" customHeight="1" spans="1:19">
      <c r="A27" s="217"/>
      <c r="B27" s="220" t="s">
        <v>197</v>
      </c>
      <c r="C27" s="213">
        <v>96</v>
      </c>
      <c r="D27" s="213">
        <f t="shared" si="0"/>
        <v>542.5</v>
      </c>
      <c r="E27" s="214" t="e">
        <f>D27/#REF!</f>
        <v>#REF!</v>
      </c>
      <c r="F27" s="215">
        <v>23.3</v>
      </c>
      <c r="G27" s="215">
        <v>34.9</v>
      </c>
      <c r="H27" s="215">
        <v>27.8</v>
      </c>
      <c r="I27" s="245">
        <v>41.8</v>
      </c>
      <c r="J27" s="216">
        <v>39.7</v>
      </c>
      <c r="K27" s="215">
        <v>40.2</v>
      </c>
      <c r="L27" s="216">
        <v>47.2</v>
      </c>
      <c r="M27" s="245">
        <v>47.1</v>
      </c>
      <c r="N27" s="245">
        <v>75.2</v>
      </c>
      <c r="O27" s="245">
        <v>63.4</v>
      </c>
      <c r="P27" s="245">
        <v>50.8</v>
      </c>
      <c r="Q27" s="245">
        <v>51.1</v>
      </c>
      <c r="R27" s="223">
        <f t="shared" si="2"/>
        <v>542.5</v>
      </c>
      <c r="S27" s="255" t="s">
        <v>198</v>
      </c>
    </row>
    <row r="28" ht="18.75" customHeight="1" spans="1:19">
      <c r="A28" s="217"/>
      <c r="B28" s="220" t="s">
        <v>199</v>
      </c>
      <c r="C28" s="213">
        <v>3901.35</v>
      </c>
      <c r="D28" s="213">
        <f t="shared" si="0"/>
        <v>6024.06</v>
      </c>
      <c r="E28" s="214" t="e">
        <f>D28/#REF!</f>
        <v>#REF!</v>
      </c>
      <c r="F28" s="215">
        <v>375.26</v>
      </c>
      <c r="G28" s="215">
        <v>375.25</v>
      </c>
      <c r="H28" s="215">
        <v>375.26</v>
      </c>
      <c r="I28" s="245">
        <v>375.25</v>
      </c>
      <c r="J28" s="248">
        <v>375.26</v>
      </c>
      <c r="K28" s="215">
        <v>375.25</v>
      </c>
      <c r="L28" s="248">
        <v>375.26</v>
      </c>
      <c r="M28" s="245">
        <v>375.24</v>
      </c>
      <c r="N28" s="245">
        <v>375.26</v>
      </c>
      <c r="O28" s="245">
        <v>618.39</v>
      </c>
      <c r="P28" s="245">
        <v>618.4</v>
      </c>
      <c r="Q28" s="245">
        <v>1409.98</v>
      </c>
      <c r="R28" s="223">
        <f t="shared" si="2"/>
        <v>6024.06</v>
      </c>
      <c r="S28" s="255"/>
    </row>
    <row r="29" ht="18.75" customHeight="1" spans="1:19">
      <c r="A29" s="217"/>
      <c r="B29" s="224" t="s">
        <v>200</v>
      </c>
      <c r="C29" s="226"/>
      <c r="D29" s="213">
        <f t="shared" si="0"/>
        <v>131931.75</v>
      </c>
      <c r="E29" s="214"/>
      <c r="F29" s="219"/>
      <c r="G29" s="219"/>
      <c r="H29" s="219"/>
      <c r="I29" s="219">
        <v>79225</v>
      </c>
      <c r="J29" s="249"/>
      <c r="K29" s="222">
        <v>46163</v>
      </c>
      <c r="L29" s="249">
        <v>393.75</v>
      </c>
      <c r="M29" s="219"/>
      <c r="N29" s="219"/>
      <c r="O29" s="219"/>
      <c r="P29" s="219"/>
      <c r="Q29" s="245">
        <v>6150</v>
      </c>
      <c r="R29" s="223">
        <f t="shared" si="2"/>
        <v>131931.75</v>
      </c>
      <c r="S29" s="255"/>
    </row>
    <row r="30" ht="18.75" customHeight="1" spans="1:19">
      <c r="A30" s="217"/>
      <c r="B30" s="220" t="s">
        <v>201</v>
      </c>
      <c r="C30" s="213">
        <v>2684</v>
      </c>
      <c r="D30" s="213">
        <f t="shared" si="0"/>
        <v>4040</v>
      </c>
      <c r="E30" s="214" t="e">
        <f>D30/#REF!</f>
        <v>#REF!</v>
      </c>
      <c r="F30" s="219"/>
      <c r="G30" s="222">
        <v>1200</v>
      </c>
      <c r="H30" s="219"/>
      <c r="I30" s="219">
        <v>500</v>
      </c>
      <c r="J30" s="249"/>
      <c r="K30" s="219"/>
      <c r="L30" s="249"/>
      <c r="M30" s="219"/>
      <c r="N30" s="245">
        <v>2340</v>
      </c>
      <c r="O30" s="219"/>
      <c r="P30" s="219"/>
      <c r="Q30" s="219"/>
      <c r="R30" s="223">
        <f t="shared" si="2"/>
        <v>4040</v>
      </c>
      <c r="S30" s="255" t="s">
        <v>202</v>
      </c>
    </row>
    <row r="31" ht="18.75" customHeight="1" spans="1:19">
      <c r="A31" s="227"/>
      <c r="B31" s="228" t="s">
        <v>203</v>
      </c>
      <c r="C31" s="208">
        <v>438855</v>
      </c>
      <c r="D31" s="188">
        <v>438855</v>
      </c>
      <c r="E31" s="204" t="e">
        <f>D31/#REF!</f>
        <v>#REF!</v>
      </c>
      <c r="F31" s="205">
        <f>31257.48*1.17</f>
        <v>36571.2516</v>
      </c>
      <c r="G31" s="205">
        <v>36571.2516</v>
      </c>
      <c r="H31" s="205">
        <v>36571.2516</v>
      </c>
      <c r="I31" s="205">
        <v>36571.2516</v>
      </c>
      <c r="J31" s="205">
        <v>36571.25</v>
      </c>
      <c r="K31" s="205">
        <v>36571.25</v>
      </c>
      <c r="L31" s="205">
        <v>36571.25</v>
      </c>
      <c r="M31" s="245">
        <v>36571.25</v>
      </c>
      <c r="N31" s="245">
        <v>36571.25</v>
      </c>
      <c r="O31" s="245">
        <v>36571.25</v>
      </c>
      <c r="P31" s="245">
        <v>36571.25</v>
      </c>
      <c r="Q31" s="245">
        <v>36571.25</v>
      </c>
      <c r="R31" s="223">
        <f t="shared" si="2"/>
        <v>438855.0064</v>
      </c>
      <c r="S31" s="255"/>
    </row>
    <row r="32" ht="18.75" customHeight="1" spans="1:19">
      <c r="A32" s="177" t="s">
        <v>157</v>
      </c>
      <c r="B32" s="178"/>
      <c r="C32" s="208"/>
      <c r="D32" s="208">
        <f>D5-D17-D18</f>
        <v>4593277</v>
      </c>
      <c r="E32" s="204"/>
      <c r="F32" s="205"/>
      <c r="G32" s="205"/>
      <c r="H32" s="205"/>
      <c r="I32" s="205"/>
      <c r="J32" s="205"/>
      <c r="K32" s="205"/>
      <c r="L32" s="205"/>
      <c r="M32" s="242"/>
      <c r="N32" s="242"/>
      <c r="O32" s="242"/>
      <c r="P32" s="242"/>
      <c r="Q32" s="242"/>
      <c r="R32" s="223"/>
      <c r="S32" s="255"/>
    </row>
    <row r="33" ht="34.5" customHeight="1" spans="1:19">
      <c r="A33" s="177" t="s">
        <v>204</v>
      </c>
      <c r="B33" s="178"/>
      <c r="C33" s="208">
        <v>4501008</v>
      </c>
      <c r="D33" s="208" t="e">
        <f>投资!#REF!*10000</f>
        <v>#REF!</v>
      </c>
      <c r="E33" s="204" t="e">
        <f>D33/#REF!</f>
        <v>#REF!</v>
      </c>
      <c r="F33" s="205">
        <f t="shared" ref="F33" si="6">31257*12</f>
        <v>375084</v>
      </c>
      <c r="G33" s="205">
        <v>375084</v>
      </c>
      <c r="H33" s="205">
        <v>375084</v>
      </c>
      <c r="I33" s="205">
        <v>375084</v>
      </c>
      <c r="J33" s="205">
        <v>375084</v>
      </c>
      <c r="K33" s="205">
        <v>375084</v>
      </c>
      <c r="L33" s="205">
        <v>375084</v>
      </c>
      <c r="M33" s="205">
        <v>375084</v>
      </c>
      <c r="N33" s="205">
        <v>375084</v>
      </c>
      <c r="O33" s="205">
        <v>375084</v>
      </c>
      <c r="P33" s="205">
        <v>375084</v>
      </c>
      <c r="Q33" s="205">
        <v>375084</v>
      </c>
      <c r="R33" s="223">
        <f t="shared" si="2"/>
        <v>4501008</v>
      </c>
      <c r="S33" s="253" t="s">
        <v>205</v>
      </c>
    </row>
    <row r="34" ht="34.5" customHeight="1" spans="1:19">
      <c r="A34" s="177" t="s">
        <v>206</v>
      </c>
      <c r="B34" s="178"/>
      <c r="C34" s="229"/>
      <c r="D34" s="229" t="e">
        <f>投资!#REF!*10000</f>
        <v>#REF!</v>
      </c>
      <c r="E34" s="230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54"/>
      <c r="S34" s="257"/>
    </row>
    <row r="35" ht="18.75" customHeight="1" spans="1:19">
      <c r="A35" s="232" t="s">
        <v>207</v>
      </c>
      <c r="B35" s="233" t="s">
        <v>208</v>
      </c>
      <c r="C35" s="234" t="e">
        <f>#REF!-C31-C33</f>
        <v>#REF!</v>
      </c>
      <c r="D35" s="234" t="e">
        <f>D32-D33-D34</f>
        <v>#REF!</v>
      </c>
      <c r="E35" s="235" t="e">
        <f>D35/#REF!</f>
        <v>#REF!</v>
      </c>
      <c r="F35" s="236" t="e">
        <f>#REF!-F33-F31</f>
        <v>#REF!</v>
      </c>
      <c r="G35" s="236" t="e">
        <f>#REF!-G33-G31</f>
        <v>#REF!</v>
      </c>
      <c r="H35" s="236" t="e">
        <f>#REF!-H33-H31</f>
        <v>#REF!</v>
      </c>
      <c r="I35" s="236" t="e">
        <f>#REF!-I33-I31</f>
        <v>#REF!</v>
      </c>
      <c r="J35" s="236" t="e">
        <f>#REF!-J33-J31</f>
        <v>#REF!</v>
      </c>
      <c r="K35" s="236" t="e">
        <f>#REF!-K33-K31</f>
        <v>#REF!</v>
      </c>
      <c r="L35" s="236" t="e">
        <f>#REF!-L33-L31</f>
        <v>#REF!</v>
      </c>
      <c r="M35" s="236" t="e">
        <f>#REF!-M33-M31</f>
        <v>#REF!</v>
      </c>
      <c r="N35" s="236" t="e">
        <f>#REF!-N33-N31</f>
        <v>#REF!</v>
      </c>
      <c r="O35" s="236" t="e">
        <f>#REF!-O33-O31</f>
        <v>#REF!</v>
      </c>
      <c r="P35" s="236" t="e">
        <f>#REF!-P33-P31</f>
        <v>#REF!</v>
      </c>
      <c r="Q35" s="236" t="e">
        <f>#REF!-Q33-Q31</f>
        <v>#REF!</v>
      </c>
      <c r="R35" s="236" t="e">
        <f>#REF!-R31-R33</f>
        <v>#REF!</v>
      </c>
      <c r="S35" s="258"/>
    </row>
    <row r="36" ht="9" customHeight="1"/>
    <row r="37" ht="16.5" customHeight="1" spans="1:19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</row>
    <row r="38" spans="6:18"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</row>
    <row r="41" spans="18:18">
      <c r="R41" s="259"/>
    </row>
    <row r="42" spans="18:18">
      <c r="R42" s="259"/>
    </row>
  </sheetData>
  <mergeCells count="18">
    <mergeCell ref="A1:S1"/>
    <mergeCell ref="A2:B2"/>
    <mergeCell ref="A3:B3"/>
    <mergeCell ref="F3:R3"/>
    <mergeCell ref="A4:B4"/>
    <mergeCell ref="A6:B6"/>
    <mergeCell ref="A7:B7"/>
    <mergeCell ref="A17:B17"/>
    <mergeCell ref="A18:B18"/>
    <mergeCell ref="A32:B32"/>
    <mergeCell ref="A33:B33"/>
    <mergeCell ref="A34:B34"/>
    <mergeCell ref="A37:S37"/>
    <mergeCell ref="A8:A16"/>
    <mergeCell ref="A19:A31"/>
    <mergeCell ref="C3:C4"/>
    <mergeCell ref="S3:S4"/>
    <mergeCell ref="D3:E4"/>
  </mergeCells>
  <printOptions horizontalCentered="1"/>
  <pageMargins left="0" right="0" top="0.196527777777778" bottom="0.196527777777778" header="0.511805555555556" footer="0.511805555555556"/>
  <pageSetup paperSize="9" orientation="portrait" verticalDpi="300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B13" sqref="B13"/>
    </sheetView>
  </sheetViews>
  <sheetFormatPr defaultColWidth="9" defaultRowHeight="18" customHeight="1"/>
  <cols>
    <col min="1" max="1" width="15.875" style="46" customWidth="1"/>
    <col min="2" max="2" width="9.25" style="48" customWidth="1"/>
    <col min="3" max="3" width="8.625" style="49" customWidth="1"/>
    <col min="4" max="4" width="8.625" style="50" customWidth="1"/>
    <col min="5" max="5" width="11.5" style="50" customWidth="1"/>
    <col min="6" max="7" width="9.5" style="50" customWidth="1"/>
    <col min="8" max="11" width="10.875" style="50" customWidth="1"/>
    <col min="12" max="12" width="11.5" style="50" customWidth="1"/>
    <col min="13" max="13" width="12.125" style="50" customWidth="1"/>
    <col min="14" max="14" width="9" style="50" customWidth="1"/>
    <col min="15" max="236" width="9" style="50"/>
    <col min="237" max="237" width="8.625" style="50" customWidth="1"/>
    <col min="238" max="238" width="6.5" style="50" customWidth="1"/>
    <col min="239" max="239" width="9" style="50" hidden="1" customWidth="1"/>
    <col min="240" max="240" width="7.75" style="50" customWidth="1"/>
    <col min="241" max="241" width="6.875" style="50" customWidth="1"/>
    <col min="242" max="253" width="6.125" style="50" customWidth="1"/>
    <col min="254" max="254" width="5.875" style="50" customWidth="1"/>
    <col min="255" max="262" width="6.125" style="50" customWidth="1"/>
    <col min="263" max="267" width="9" style="50" hidden="1" customWidth="1"/>
    <col min="268" max="492" width="9" style="50"/>
    <col min="493" max="493" width="8.625" style="50" customWidth="1"/>
    <col min="494" max="494" width="6.5" style="50" customWidth="1"/>
    <col min="495" max="495" width="9" style="50" hidden="1" customWidth="1"/>
    <col min="496" max="496" width="7.75" style="50" customWidth="1"/>
    <col min="497" max="497" width="6.875" style="50" customWidth="1"/>
    <col min="498" max="509" width="6.125" style="50" customWidth="1"/>
    <col min="510" max="510" width="5.875" style="50" customWidth="1"/>
    <col min="511" max="518" width="6.125" style="50" customWidth="1"/>
    <col min="519" max="523" width="9" style="50" hidden="1" customWidth="1"/>
    <col min="524" max="748" width="9" style="50"/>
    <col min="749" max="749" width="8.625" style="50" customWidth="1"/>
    <col min="750" max="750" width="6.5" style="50" customWidth="1"/>
    <col min="751" max="751" width="9" style="50" hidden="1" customWidth="1"/>
    <col min="752" max="752" width="7.75" style="50" customWidth="1"/>
    <col min="753" max="753" width="6.875" style="50" customWidth="1"/>
    <col min="754" max="765" width="6.125" style="50" customWidth="1"/>
    <col min="766" max="766" width="5.875" style="50" customWidth="1"/>
    <col min="767" max="774" width="6.125" style="50" customWidth="1"/>
    <col min="775" max="779" width="9" style="50" hidden="1" customWidth="1"/>
    <col min="780" max="1004" width="9" style="50"/>
    <col min="1005" max="1005" width="8.625" style="50" customWidth="1"/>
    <col min="1006" max="1006" width="6.5" style="50" customWidth="1"/>
    <col min="1007" max="1007" width="9" style="50" hidden="1" customWidth="1"/>
    <col min="1008" max="1008" width="7.75" style="50" customWidth="1"/>
    <col min="1009" max="1009" width="6.875" style="50" customWidth="1"/>
    <col min="1010" max="1021" width="6.125" style="50" customWidth="1"/>
    <col min="1022" max="1022" width="5.875" style="50" customWidth="1"/>
    <col min="1023" max="1030" width="6.125" style="50" customWidth="1"/>
    <col min="1031" max="1035" width="9" style="50" hidden="1" customWidth="1"/>
    <col min="1036" max="1260" width="9" style="50"/>
    <col min="1261" max="1261" width="8.625" style="50" customWidth="1"/>
    <col min="1262" max="1262" width="6.5" style="50" customWidth="1"/>
    <col min="1263" max="1263" width="9" style="50" hidden="1" customWidth="1"/>
    <col min="1264" max="1264" width="7.75" style="50" customWidth="1"/>
    <col min="1265" max="1265" width="6.875" style="50" customWidth="1"/>
    <col min="1266" max="1277" width="6.125" style="50" customWidth="1"/>
    <col min="1278" max="1278" width="5.875" style="50" customWidth="1"/>
    <col min="1279" max="1286" width="6.125" style="50" customWidth="1"/>
    <col min="1287" max="1291" width="9" style="50" hidden="1" customWidth="1"/>
    <col min="1292" max="1516" width="9" style="50"/>
    <col min="1517" max="1517" width="8.625" style="50" customWidth="1"/>
    <col min="1518" max="1518" width="6.5" style="50" customWidth="1"/>
    <col min="1519" max="1519" width="9" style="50" hidden="1" customWidth="1"/>
    <col min="1520" max="1520" width="7.75" style="50" customWidth="1"/>
    <col min="1521" max="1521" width="6.875" style="50" customWidth="1"/>
    <col min="1522" max="1533" width="6.125" style="50" customWidth="1"/>
    <col min="1534" max="1534" width="5.875" style="50" customWidth="1"/>
    <col min="1535" max="1542" width="6.125" style="50" customWidth="1"/>
    <col min="1543" max="1547" width="9" style="50" hidden="1" customWidth="1"/>
    <col min="1548" max="1772" width="9" style="50"/>
    <col min="1773" max="1773" width="8.625" style="50" customWidth="1"/>
    <col min="1774" max="1774" width="6.5" style="50" customWidth="1"/>
    <col min="1775" max="1775" width="9" style="50" hidden="1" customWidth="1"/>
    <col min="1776" max="1776" width="7.75" style="50" customWidth="1"/>
    <col min="1777" max="1777" width="6.875" style="50" customWidth="1"/>
    <col min="1778" max="1789" width="6.125" style="50" customWidth="1"/>
    <col min="1790" max="1790" width="5.875" style="50" customWidth="1"/>
    <col min="1791" max="1798" width="6.125" style="50" customWidth="1"/>
    <col min="1799" max="1803" width="9" style="50" hidden="1" customWidth="1"/>
    <col min="1804" max="2028" width="9" style="50"/>
    <col min="2029" max="2029" width="8.625" style="50" customWidth="1"/>
    <col min="2030" max="2030" width="6.5" style="50" customWidth="1"/>
    <col min="2031" max="2031" width="9" style="50" hidden="1" customWidth="1"/>
    <col min="2032" max="2032" width="7.75" style="50" customWidth="1"/>
    <col min="2033" max="2033" width="6.875" style="50" customWidth="1"/>
    <col min="2034" max="2045" width="6.125" style="50" customWidth="1"/>
    <col min="2046" max="2046" width="5.875" style="50" customWidth="1"/>
    <col min="2047" max="2054" width="6.125" style="50" customWidth="1"/>
    <col min="2055" max="2059" width="9" style="50" hidden="1" customWidth="1"/>
    <col min="2060" max="2284" width="9" style="50"/>
    <col min="2285" max="2285" width="8.625" style="50" customWidth="1"/>
    <col min="2286" max="2286" width="6.5" style="50" customWidth="1"/>
    <col min="2287" max="2287" width="9" style="50" hidden="1" customWidth="1"/>
    <col min="2288" max="2288" width="7.75" style="50" customWidth="1"/>
    <col min="2289" max="2289" width="6.875" style="50" customWidth="1"/>
    <col min="2290" max="2301" width="6.125" style="50" customWidth="1"/>
    <col min="2302" max="2302" width="5.875" style="50" customWidth="1"/>
    <col min="2303" max="2310" width="6.125" style="50" customWidth="1"/>
    <col min="2311" max="2315" width="9" style="50" hidden="1" customWidth="1"/>
    <col min="2316" max="2540" width="9" style="50"/>
    <col min="2541" max="2541" width="8.625" style="50" customWidth="1"/>
    <col min="2542" max="2542" width="6.5" style="50" customWidth="1"/>
    <col min="2543" max="2543" width="9" style="50" hidden="1" customWidth="1"/>
    <col min="2544" max="2544" width="7.75" style="50" customWidth="1"/>
    <col min="2545" max="2545" width="6.875" style="50" customWidth="1"/>
    <col min="2546" max="2557" width="6.125" style="50" customWidth="1"/>
    <col min="2558" max="2558" width="5.875" style="50" customWidth="1"/>
    <col min="2559" max="2566" width="6.125" style="50" customWidth="1"/>
    <col min="2567" max="2571" width="9" style="50" hidden="1" customWidth="1"/>
    <col min="2572" max="2796" width="9" style="50"/>
    <col min="2797" max="2797" width="8.625" style="50" customWidth="1"/>
    <col min="2798" max="2798" width="6.5" style="50" customWidth="1"/>
    <col min="2799" max="2799" width="9" style="50" hidden="1" customWidth="1"/>
    <col min="2800" max="2800" width="7.75" style="50" customWidth="1"/>
    <col min="2801" max="2801" width="6.875" style="50" customWidth="1"/>
    <col min="2802" max="2813" width="6.125" style="50" customWidth="1"/>
    <col min="2814" max="2814" width="5.875" style="50" customWidth="1"/>
    <col min="2815" max="2822" width="6.125" style="50" customWidth="1"/>
    <col min="2823" max="2827" width="9" style="50" hidden="1" customWidth="1"/>
    <col min="2828" max="3052" width="9" style="50"/>
    <col min="3053" max="3053" width="8.625" style="50" customWidth="1"/>
    <col min="3054" max="3054" width="6.5" style="50" customWidth="1"/>
    <col min="3055" max="3055" width="9" style="50" hidden="1" customWidth="1"/>
    <col min="3056" max="3056" width="7.75" style="50" customWidth="1"/>
    <col min="3057" max="3057" width="6.875" style="50" customWidth="1"/>
    <col min="3058" max="3069" width="6.125" style="50" customWidth="1"/>
    <col min="3070" max="3070" width="5.875" style="50" customWidth="1"/>
    <col min="3071" max="3078" width="6.125" style="50" customWidth="1"/>
    <col min="3079" max="3083" width="9" style="50" hidden="1" customWidth="1"/>
    <col min="3084" max="3308" width="9" style="50"/>
    <col min="3309" max="3309" width="8.625" style="50" customWidth="1"/>
    <col min="3310" max="3310" width="6.5" style="50" customWidth="1"/>
    <col min="3311" max="3311" width="9" style="50" hidden="1" customWidth="1"/>
    <col min="3312" max="3312" width="7.75" style="50" customWidth="1"/>
    <col min="3313" max="3313" width="6.875" style="50" customWidth="1"/>
    <col min="3314" max="3325" width="6.125" style="50" customWidth="1"/>
    <col min="3326" max="3326" width="5.875" style="50" customWidth="1"/>
    <col min="3327" max="3334" width="6.125" style="50" customWidth="1"/>
    <col min="3335" max="3339" width="9" style="50" hidden="1" customWidth="1"/>
    <col min="3340" max="3564" width="9" style="50"/>
    <col min="3565" max="3565" width="8.625" style="50" customWidth="1"/>
    <col min="3566" max="3566" width="6.5" style="50" customWidth="1"/>
    <col min="3567" max="3567" width="9" style="50" hidden="1" customWidth="1"/>
    <col min="3568" max="3568" width="7.75" style="50" customWidth="1"/>
    <col min="3569" max="3569" width="6.875" style="50" customWidth="1"/>
    <col min="3570" max="3581" width="6.125" style="50" customWidth="1"/>
    <col min="3582" max="3582" width="5.875" style="50" customWidth="1"/>
    <col min="3583" max="3590" width="6.125" style="50" customWidth="1"/>
    <col min="3591" max="3595" width="9" style="50" hidden="1" customWidth="1"/>
    <col min="3596" max="3820" width="9" style="50"/>
    <col min="3821" max="3821" width="8.625" style="50" customWidth="1"/>
    <col min="3822" max="3822" width="6.5" style="50" customWidth="1"/>
    <col min="3823" max="3823" width="9" style="50" hidden="1" customWidth="1"/>
    <col min="3824" max="3824" width="7.75" style="50" customWidth="1"/>
    <col min="3825" max="3825" width="6.875" style="50" customWidth="1"/>
    <col min="3826" max="3837" width="6.125" style="50" customWidth="1"/>
    <col min="3838" max="3838" width="5.875" style="50" customWidth="1"/>
    <col min="3839" max="3846" width="6.125" style="50" customWidth="1"/>
    <col min="3847" max="3851" width="9" style="50" hidden="1" customWidth="1"/>
    <col min="3852" max="4076" width="9" style="50"/>
    <col min="4077" max="4077" width="8.625" style="50" customWidth="1"/>
    <col min="4078" max="4078" width="6.5" style="50" customWidth="1"/>
    <col min="4079" max="4079" width="9" style="50" hidden="1" customWidth="1"/>
    <col min="4080" max="4080" width="7.75" style="50" customWidth="1"/>
    <col min="4081" max="4081" width="6.875" style="50" customWidth="1"/>
    <col min="4082" max="4093" width="6.125" style="50" customWidth="1"/>
    <col min="4094" max="4094" width="5.875" style="50" customWidth="1"/>
    <col min="4095" max="4102" width="6.125" style="50" customWidth="1"/>
    <col min="4103" max="4107" width="9" style="50" hidden="1" customWidth="1"/>
    <col min="4108" max="4332" width="9" style="50"/>
    <col min="4333" max="4333" width="8.625" style="50" customWidth="1"/>
    <col min="4334" max="4334" width="6.5" style="50" customWidth="1"/>
    <col min="4335" max="4335" width="9" style="50" hidden="1" customWidth="1"/>
    <col min="4336" max="4336" width="7.75" style="50" customWidth="1"/>
    <col min="4337" max="4337" width="6.875" style="50" customWidth="1"/>
    <col min="4338" max="4349" width="6.125" style="50" customWidth="1"/>
    <col min="4350" max="4350" width="5.875" style="50" customWidth="1"/>
    <col min="4351" max="4358" width="6.125" style="50" customWidth="1"/>
    <col min="4359" max="4363" width="9" style="50" hidden="1" customWidth="1"/>
    <col min="4364" max="4588" width="9" style="50"/>
    <col min="4589" max="4589" width="8.625" style="50" customWidth="1"/>
    <col min="4590" max="4590" width="6.5" style="50" customWidth="1"/>
    <col min="4591" max="4591" width="9" style="50" hidden="1" customWidth="1"/>
    <col min="4592" max="4592" width="7.75" style="50" customWidth="1"/>
    <col min="4593" max="4593" width="6.875" style="50" customWidth="1"/>
    <col min="4594" max="4605" width="6.125" style="50" customWidth="1"/>
    <col min="4606" max="4606" width="5.875" style="50" customWidth="1"/>
    <col min="4607" max="4614" width="6.125" style="50" customWidth="1"/>
    <col min="4615" max="4619" width="9" style="50" hidden="1" customWidth="1"/>
    <col min="4620" max="4844" width="9" style="50"/>
    <col min="4845" max="4845" width="8.625" style="50" customWidth="1"/>
    <col min="4846" max="4846" width="6.5" style="50" customWidth="1"/>
    <col min="4847" max="4847" width="9" style="50" hidden="1" customWidth="1"/>
    <col min="4848" max="4848" width="7.75" style="50" customWidth="1"/>
    <col min="4849" max="4849" width="6.875" style="50" customWidth="1"/>
    <col min="4850" max="4861" width="6.125" style="50" customWidth="1"/>
    <col min="4862" max="4862" width="5.875" style="50" customWidth="1"/>
    <col min="4863" max="4870" width="6.125" style="50" customWidth="1"/>
    <col min="4871" max="4875" width="9" style="50" hidden="1" customWidth="1"/>
    <col min="4876" max="5100" width="9" style="50"/>
    <col min="5101" max="5101" width="8.625" style="50" customWidth="1"/>
    <col min="5102" max="5102" width="6.5" style="50" customWidth="1"/>
    <col min="5103" max="5103" width="9" style="50" hidden="1" customWidth="1"/>
    <col min="5104" max="5104" width="7.75" style="50" customWidth="1"/>
    <col min="5105" max="5105" width="6.875" style="50" customWidth="1"/>
    <col min="5106" max="5117" width="6.125" style="50" customWidth="1"/>
    <col min="5118" max="5118" width="5.875" style="50" customWidth="1"/>
    <col min="5119" max="5126" width="6.125" style="50" customWidth="1"/>
    <col min="5127" max="5131" width="9" style="50" hidden="1" customWidth="1"/>
    <col min="5132" max="5356" width="9" style="50"/>
    <col min="5357" max="5357" width="8.625" style="50" customWidth="1"/>
    <col min="5358" max="5358" width="6.5" style="50" customWidth="1"/>
    <col min="5359" max="5359" width="9" style="50" hidden="1" customWidth="1"/>
    <col min="5360" max="5360" width="7.75" style="50" customWidth="1"/>
    <col min="5361" max="5361" width="6.875" style="50" customWidth="1"/>
    <col min="5362" max="5373" width="6.125" style="50" customWidth="1"/>
    <col min="5374" max="5374" width="5.875" style="50" customWidth="1"/>
    <col min="5375" max="5382" width="6.125" style="50" customWidth="1"/>
    <col min="5383" max="5387" width="9" style="50" hidden="1" customWidth="1"/>
    <col min="5388" max="5612" width="9" style="50"/>
    <col min="5613" max="5613" width="8.625" style="50" customWidth="1"/>
    <col min="5614" max="5614" width="6.5" style="50" customWidth="1"/>
    <col min="5615" max="5615" width="9" style="50" hidden="1" customWidth="1"/>
    <col min="5616" max="5616" width="7.75" style="50" customWidth="1"/>
    <col min="5617" max="5617" width="6.875" style="50" customWidth="1"/>
    <col min="5618" max="5629" width="6.125" style="50" customWidth="1"/>
    <col min="5630" max="5630" width="5.875" style="50" customWidth="1"/>
    <col min="5631" max="5638" width="6.125" style="50" customWidth="1"/>
    <col min="5639" max="5643" width="9" style="50" hidden="1" customWidth="1"/>
    <col min="5644" max="5868" width="9" style="50"/>
    <col min="5869" max="5869" width="8.625" style="50" customWidth="1"/>
    <col min="5870" max="5870" width="6.5" style="50" customWidth="1"/>
    <col min="5871" max="5871" width="9" style="50" hidden="1" customWidth="1"/>
    <col min="5872" max="5872" width="7.75" style="50" customWidth="1"/>
    <col min="5873" max="5873" width="6.875" style="50" customWidth="1"/>
    <col min="5874" max="5885" width="6.125" style="50" customWidth="1"/>
    <col min="5886" max="5886" width="5.875" style="50" customWidth="1"/>
    <col min="5887" max="5894" width="6.125" style="50" customWidth="1"/>
    <col min="5895" max="5899" width="9" style="50" hidden="1" customWidth="1"/>
    <col min="5900" max="6124" width="9" style="50"/>
    <col min="6125" max="6125" width="8.625" style="50" customWidth="1"/>
    <col min="6126" max="6126" width="6.5" style="50" customWidth="1"/>
    <col min="6127" max="6127" width="9" style="50" hidden="1" customWidth="1"/>
    <col min="6128" max="6128" width="7.75" style="50" customWidth="1"/>
    <col min="6129" max="6129" width="6.875" style="50" customWidth="1"/>
    <col min="6130" max="6141" width="6.125" style="50" customWidth="1"/>
    <col min="6142" max="6142" width="5.875" style="50" customWidth="1"/>
    <col min="6143" max="6150" width="6.125" style="50" customWidth="1"/>
    <col min="6151" max="6155" width="9" style="50" hidden="1" customWidth="1"/>
    <col min="6156" max="6380" width="9" style="50"/>
    <col min="6381" max="6381" width="8.625" style="50" customWidth="1"/>
    <col min="6382" max="6382" width="6.5" style="50" customWidth="1"/>
    <col min="6383" max="6383" width="9" style="50" hidden="1" customWidth="1"/>
    <col min="6384" max="6384" width="7.75" style="50" customWidth="1"/>
    <col min="6385" max="6385" width="6.875" style="50" customWidth="1"/>
    <col min="6386" max="6397" width="6.125" style="50" customWidth="1"/>
    <col min="6398" max="6398" width="5.875" style="50" customWidth="1"/>
    <col min="6399" max="6406" width="6.125" style="50" customWidth="1"/>
    <col min="6407" max="6411" width="9" style="50" hidden="1" customWidth="1"/>
    <col min="6412" max="6636" width="9" style="50"/>
    <col min="6637" max="6637" width="8.625" style="50" customWidth="1"/>
    <col min="6638" max="6638" width="6.5" style="50" customWidth="1"/>
    <col min="6639" max="6639" width="9" style="50" hidden="1" customWidth="1"/>
    <col min="6640" max="6640" width="7.75" style="50" customWidth="1"/>
    <col min="6641" max="6641" width="6.875" style="50" customWidth="1"/>
    <col min="6642" max="6653" width="6.125" style="50" customWidth="1"/>
    <col min="6654" max="6654" width="5.875" style="50" customWidth="1"/>
    <col min="6655" max="6662" width="6.125" style="50" customWidth="1"/>
    <col min="6663" max="6667" width="9" style="50" hidden="1" customWidth="1"/>
    <col min="6668" max="6892" width="9" style="50"/>
    <col min="6893" max="6893" width="8.625" style="50" customWidth="1"/>
    <col min="6894" max="6894" width="6.5" style="50" customWidth="1"/>
    <col min="6895" max="6895" width="9" style="50" hidden="1" customWidth="1"/>
    <col min="6896" max="6896" width="7.75" style="50" customWidth="1"/>
    <col min="6897" max="6897" width="6.875" style="50" customWidth="1"/>
    <col min="6898" max="6909" width="6.125" style="50" customWidth="1"/>
    <col min="6910" max="6910" width="5.875" style="50" customWidth="1"/>
    <col min="6911" max="6918" width="6.125" style="50" customWidth="1"/>
    <col min="6919" max="6923" width="9" style="50" hidden="1" customWidth="1"/>
    <col min="6924" max="7148" width="9" style="50"/>
    <col min="7149" max="7149" width="8.625" style="50" customWidth="1"/>
    <col min="7150" max="7150" width="6.5" style="50" customWidth="1"/>
    <col min="7151" max="7151" width="9" style="50" hidden="1" customWidth="1"/>
    <col min="7152" max="7152" width="7.75" style="50" customWidth="1"/>
    <col min="7153" max="7153" width="6.875" style="50" customWidth="1"/>
    <col min="7154" max="7165" width="6.125" style="50" customWidth="1"/>
    <col min="7166" max="7166" width="5.875" style="50" customWidth="1"/>
    <col min="7167" max="7174" width="6.125" style="50" customWidth="1"/>
    <col min="7175" max="7179" width="9" style="50" hidden="1" customWidth="1"/>
    <col min="7180" max="7404" width="9" style="50"/>
    <col min="7405" max="7405" width="8.625" style="50" customWidth="1"/>
    <col min="7406" max="7406" width="6.5" style="50" customWidth="1"/>
    <col min="7407" max="7407" width="9" style="50" hidden="1" customWidth="1"/>
    <col min="7408" max="7408" width="7.75" style="50" customWidth="1"/>
    <col min="7409" max="7409" width="6.875" style="50" customWidth="1"/>
    <col min="7410" max="7421" width="6.125" style="50" customWidth="1"/>
    <col min="7422" max="7422" width="5.875" style="50" customWidth="1"/>
    <col min="7423" max="7430" width="6.125" style="50" customWidth="1"/>
    <col min="7431" max="7435" width="9" style="50" hidden="1" customWidth="1"/>
    <col min="7436" max="7660" width="9" style="50"/>
    <col min="7661" max="7661" width="8.625" style="50" customWidth="1"/>
    <col min="7662" max="7662" width="6.5" style="50" customWidth="1"/>
    <col min="7663" max="7663" width="9" style="50" hidden="1" customWidth="1"/>
    <col min="7664" max="7664" width="7.75" style="50" customWidth="1"/>
    <col min="7665" max="7665" width="6.875" style="50" customWidth="1"/>
    <col min="7666" max="7677" width="6.125" style="50" customWidth="1"/>
    <col min="7678" max="7678" width="5.875" style="50" customWidth="1"/>
    <col min="7679" max="7686" width="6.125" style="50" customWidth="1"/>
    <col min="7687" max="7691" width="9" style="50" hidden="1" customWidth="1"/>
    <col min="7692" max="7916" width="9" style="50"/>
    <col min="7917" max="7917" width="8.625" style="50" customWidth="1"/>
    <col min="7918" max="7918" width="6.5" style="50" customWidth="1"/>
    <col min="7919" max="7919" width="9" style="50" hidden="1" customWidth="1"/>
    <col min="7920" max="7920" width="7.75" style="50" customWidth="1"/>
    <col min="7921" max="7921" width="6.875" style="50" customWidth="1"/>
    <col min="7922" max="7933" width="6.125" style="50" customWidth="1"/>
    <col min="7934" max="7934" width="5.875" style="50" customWidth="1"/>
    <col min="7935" max="7942" width="6.125" style="50" customWidth="1"/>
    <col min="7943" max="7947" width="9" style="50" hidden="1" customWidth="1"/>
    <col min="7948" max="8172" width="9" style="50"/>
    <col min="8173" max="8173" width="8.625" style="50" customWidth="1"/>
    <col min="8174" max="8174" width="6.5" style="50" customWidth="1"/>
    <col min="8175" max="8175" width="9" style="50" hidden="1" customWidth="1"/>
    <col min="8176" max="8176" width="7.75" style="50" customWidth="1"/>
    <col min="8177" max="8177" width="6.875" style="50" customWidth="1"/>
    <col min="8178" max="8189" width="6.125" style="50" customWidth="1"/>
    <col min="8190" max="8190" width="5.875" style="50" customWidth="1"/>
    <col min="8191" max="8198" width="6.125" style="50" customWidth="1"/>
    <col min="8199" max="8203" width="9" style="50" hidden="1" customWidth="1"/>
    <col min="8204" max="8428" width="9" style="50"/>
    <col min="8429" max="8429" width="8.625" style="50" customWidth="1"/>
    <col min="8430" max="8430" width="6.5" style="50" customWidth="1"/>
    <col min="8431" max="8431" width="9" style="50" hidden="1" customWidth="1"/>
    <col min="8432" max="8432" width="7.75" style="50" customWidth="1"/>
    <col min="8433" max="8433" width="6.875" style="50" customWidth="1"/>
    <col min="8434" max="8445" width="6.125" style="50" customWidth="1"/>
    <col min="8446" max="8446" width="5.875" style="50" customWidth="1"/>
    <col min="8447" max="8454" width="6.125" style="50" customWidth="1"/>
    <col min="8455" max="8459" width="9" style="50" hidden="1" customWidth="1"/>
    <col min="8460" max="8684" width="9" style="50"/>
    <col min="8685" max="8685" width="8.625" style="50" customWidth="1"/>
    <col min="8686" max="8686" width="6.5" style="50" customWidth="1"/>
    <col min="8687" max="8687" width="9" style="50" hidden="1" customWidth="1"/>
    <col min="8688" max="8688" width="7.75" style="50" customWidth="1"/>
    <col min="8689" max="8689" width="6.875" style="50" customWidth="1"/>
    <col min="8690" max="8701" width="6.125" style="50" customWidth="1"/>
    <col min="8702" max="8702" width="5.875" style="50" customWidth="1"/>
    <col min="8703" max="8710" width="6.125" style="50" customWidth="1"/>
    <col min="8711" max="8715" width="9" style="50" hidden="1" customWidth="1"/>
    <col min="8716" max="8940" width="9" style="50"/>
    <col min="8941" max="8941" width="8.625" style="50" customWidth="1"/>
    <col min="8942" max="8942" width="6.5" style="50" customWidth="1"/>
    <col min="8943" max="8943" width="9" style="50" hidden="1" customWidth="1"/>
    <col min="8944" max="8944" width="7.75" style="50" customWidth="1"/>
    <col min="8945" max="8945" width="6.875" style="50" customWidth="1"/>
    <col min="8946" max="8957" width="6.125" style="50" customWidth="1"/>
    <col min="8958" max="8958" width="5.875" style="50" customWidth="1"/>
    <col min="8959" max="8966" width="6.125" style="50" customWidth="1"/>
    <col min="8967" max="8971" width="9" style="50" hidden="1" customWidth="1"/>
    <col min="8972" max="9196" width="9" style="50"/>
    <col min="9197" max="9197" width="8.625" style="50" customWidth="1"/>
    <col min="9198" max="9198" width="6.5" style="50" customWidth="1"/>
    <col min="9199" max="9199" width="9" style="50" hidden="1" customWidth="1"/>
    <col min="9200" max="9200" width="7.75" style="50" customWidth="1"/>
    <col min="9201" max="9201" width="6.875" style="50" customWidth="1"/>
    <col min="9202" max="9213" width="6.125" style="50" customWidth="1"/>
    <col min="9214" max="9214" width="5.875" style="50" customWidth="1"/>
    <col min="9215" max="9222" width="6.125" style="50" customWidth="1"/>
    <col min="9223" max="9227" width="9" style="50" hidden="1" customWidth="1"/>
    <col min="9228" max="9452" width="9" style="50"/>
    <col min="9453" max="9453" width="8.625" style="50" customWidth="1"/>
    <col min="9454" max="9454" width="6.5" style="50" customWidth="1"/>
    <col min="9455" max="9455" width="9" style="50" hidden="1" customWidth="1"/>
    <col min="9456" max="9456" width="7.75" style="50" customWidth="1"/>
    <col min="9457" max="9457" width="6.875" style="50" customWidth="1"/>
    <col min="9458" max="9469" width="6.125" style="50" customWidth="1"/>
    <col min="9470" max="9470" width="5.875" style="50" customWidth="1"/>
    <col min="9471" max="9478" width="6.125" style="50" customWidth="1"/>
    <col min="9479" max="9483" width="9" style="50" hidden="1" customWidth="1"/>
    <col min="9484" max="9708" width="9" style="50"/>
    <col min="9709" max="9709" width="8.625" style="50" customWidth="1"/>
    <col min="9710" max="9710" width="6.5" style="50" customWidth="1"/>
    <col min="9711" max="9711" width="9" style="50" hidden="1" customWidth="1"/>
    <col min="9712" max="9712" width="7.75" style="50" customWidth="1"/>
    <col min="9713" max="9713" width="6.875" style="50" customWidth="1"/>
    <col min="9714" max="9725" width="6.125" style="50" customWidth="1"/>
    <col min="9726" max="9726" width="5.875" style="50" customWidth="1"/>
    <col min="9727" max="9734" width="6.125" style="50" customWidth="1"/>
    <col min="9735" max="9739" width="9" style="50" hidden="1" customWidth="1"/>
    <col min="9740" max="9964" width="9" style="50"/>
    <col min="9965" max="9965" width="8.625" style="50" customWidth="1"/>
    <col min="9966" max="9966" width="6.5" style="50" customWidth="1"/>
    <col min="9967" max="9967" width="9" style="50" hidden="1" customWidth="1"/>
    <col min="9968" max="9968" width="7.75" style="50" customWidth="1"/>
    <col min="9969" max="9969" width="6.875" style="50" customWidth="1"/>
    <col min="9970" max="9981" width="6.125" style="50" customWidth="1"/>
    <col min="9982" max="9982" width="5.875" style="50" customWidth="1"/>
    <col min="9983" max="9990" width="6.125" style="50" customWidth="1"/>
    <col min="9991" max="9995" width="9" style="50" hidden="1" customWidth="1"/>
    <col min="9996" max="10220" width="9" style="50"/>
    <col min="10221" max="10221" width="8.625" style="50" customWidth="1"/>
    <col min="10222" max="10222" width="6.5" style="50" customWidth="1"/>
    <col min="10223" max="10223" width="9" style="50" hidden="1" customWidth="1"/>
    <col min="10224" max="10224" width="7.75" style="50" customWidth="1"/>
    <col min="10225" max="10225" width="6.875" style="50" customWidth="1"/>
    <col min="10226" max="10237" width="6.125" style="50" customWidth="1"/>
    <col min="10238" max="10238" width="5.875" style="50" customWidth="1"/>
    <col min="10239" max="10246" width="6.125" style="50" customWidth="1"/>
    <col min="10247" max="10251" width="9" style="50" hidden="1" customWidth="1"/>
    <col min="10252" max="10476" width="9" style="50"/>
    <col min="10477" max="10477" width="8.625" style="50" customWidth="1"/>
    <col min="10478" max="10478" width="6.5" style="50" customWidth="1"/>
    <col min="10479" max="10479" width="9" style="50" hidden="1" customWidth="1"/>
    <col min="10480" max="10480" width="7.75" style="50" customWidth="1"/>
    <col min="10481" max="10481" width="6.875" style="50" customWidth="1"/>
    <col min="10482" max="10493" width="6.125" style="50" customWidth="1"/>
    <col min="10494" max="10494" width="5.875" style="50" customWidth="1"/>
    <col min="10495" max="10502" width="6.125" style="50" customWidth="1"/>
    <col min="10503" max="10507" width="9" style="50" hidden="1" customWidth="1"/>
    <col min="10508" max="10732" width="9" style="50"/>
    <col min="10733" max="10733" width="8.625" style="50" customWidth="1"/>
    <col min="10734" max="10734" width="6.5" style="50" customWidth="1"/>
    <col min="10735" max="10735" width="9" style="50" hidden="1" customWidth="1"/>
    <col min="10736" max="10736" width="7.75" style="50" customWidth="1"/>
    <col min="10737" max="10737" width="6.875" style="50" customWidth="1"/>
    <col min="10738" max="10749" width="6.125" style="50" customWidth="1"/>
    <col min="10750" max="10750" width="5.875" style="50" customWidth="1"/>
    <col min="10751" max="10758" width="6.125" style="50" customWidth="1"/>
    <col min="10759" max="10763" width="9" style="50" hidden="1" customWidth="1"/>
    <col min="10764" max="10988" width="9" style="50"/>
    <col min="10989" max="10989" width="8.625" style="50" customWidth="1"/>
    <col min="10990" max="10990" width="6.5" style="50" customWidth="1"/>
    <col min="10991" max="10991" width="9" style="50" hidden="1" customWidth="1"/>
    <col min="10992" max="10992" width="7.75" style="50" customWidth="1"/>
    <col min="10993" max="10993" width="6.875" style="50" customWidth="1"/>
    <col min="10994" max="11005" width="6.125" style="50" customWidth="1"/>
    <col min="11006" max="11006" width="5.875" style="50" customWidth="1"/>
    <col min="11007" max="11014" width="6.125" style="50" customWidth="1"/>
    <col min="11015" max="11019" width="9" style="50" hidden="1" customWidth="1"/>
    <col min="11020" max="11244" width="9" style="50"/>
    <col min="11245" max="11245" width="8.625" style="50" customWidth="1"/>
    <col min="11246" max="11246" width="6.5" style="50" customWidth="1"/>
    <col min="11247" max="11247" width="9" style="50" hidden="1" customWidth="1"/>
    <col min="11248" max="11248" width="7.75" style="50" customWidth="1"/>
    <col min="11249" max="11249" width="6.875" style="50" customWidth="1"/>
    <col min="11250" max="11261" width="6.125" style="50" customWidth="1"/>
    <col min="11262" max="11262" width="5.875" style="50" customWidth="1"/>
    <col min="11263" max="11270" width="6.125" style="50" customWidth="1"/>
    <col min="11271" max="11275" width="9" style="50" hidden="1" customWidth="1"/>
    <col min="11276" max="11500" width="9" style="50"/>
    <col min="11501" max="11501" width="8.625" style="50" customWidth="1"/>
    <col min="11502" max="11502" width="6.5" style="50" customWidth="1"/>
    <col min="11503" max="11503" width="9" style="50" hidden="1" customWidth="1"/>
    <col min="11504" max="11504" width="7.75" style="50" customWidth="1"/>
    <col min="11505" max="11505" width="6.875" style="50" customWidth="1"/>
    <col min="11506" max="11517" width="6.125" style="50" customWidth="1"/>
    <col min="11518" max="11518" width="5.875" style="50" customWidth="1"/>
    <col min="11519" max="11526" width="6.125" style="50" customWidth="1"/>
    <col min="11527" max="11531" width="9" style="50" hidden="1" customWidth="1"/>
    <col min="11532" max="11756" width="9" style="50"/>
    <col min="11757" max="11757" width="8.625" style="50" customWidth="1"/>
    <col min="11758" max="11758" width="6.5" style="50" customWidth="1"/>
    <col min="11759" max="11759" width="9" style="50" hidden="1" customWidth="1"/>
    <col min="11760" max="11760" width="7.75" style="50" customWidth="1"/>
    <col min="11761" max="11761" width="6.875" style="50" customWidth="1"/>
    <col min="11762" max="11773" width="6.125" style="50" customWidth="1"/>
    <col min="11774" max="11774" width="5.875" style="50" customWidth="1"/>
    <col min="11775" max="11782" width="6.125" style="50" customWidth="1"/>
    <col min="11783" max="11787" width="9" style="50" hidden="1" customWidth="1"/>
    <col min="11788" max="12012" width="9" style="50"/>
    <col min="12013" max="12013" width="8.625" style="50" customWidth="1"/>
    <col min="12014" max="12014" width="6.5" style="50" customWidth="1"/>
    <col min="12015" max="12015" width="9" style="50" hidden="1" customWidth="1"/>
    <col min="12016" max="12016" width="7.75" style="50" customWidth="1"/>
    <col min="12017" max="12017" width="6.875" style="50" customWidth="1"/>
    <col min="12018" max="12029" width="6.125" style="50" customWidth="1"/>
    <col min="12030" max="12030" width="5.875" style="50" customWidth="1"/>
    <col min="12031" max="12038" width="6.125" style="50" customWidth="1"/>
    <col min="12039" max="12043" width="9" style="50" hidden="1" customWidth="1"/>
    <col min="12044" max="12268" width="9" style="50"/>
    <col min="12269" max="12269" width="8.625" style="50" customWidth="1"/>
    <col min="12270" max="12270" width="6.5" style="50" customWidth="1"/>
    <col min="12271" max="12271" width="9" style="50" hidden="1" customWidth="1"/>
    <col min="12272" max="12272" width="7.75" style="50" customWidth="1"/>
    <col min="12273" max="12273" width="6.875" style="50" customWidth="1"/>
    <col min="12274" max="12285" width="6.125" style="50" customWidth="1"/>
    <col min="12286" max="12286" width="5.875" style="50" customWidth="1"/>
    <col min="12287" max="12294" width="6.125" style="50" customWidth="1"/>
    <col min="12295" max="12299" width="9" style="50" hidden="1" customWidth="1"/>
    <col min="12300" max="12524" width="9" style="50"/>
    <col min="12525" max="12525" width="8.625" style="50" customWidth="1"/>
    <col min="12526" max="12526" width="6.5" style="50" customWidth="1"/>
    <col min="12527" max="12527" width="9" style="50" hidden="1" customWidth="1"/>
    <col min="12528" max="12528" width="7.75" style="50" customWidth="1"/>
    <col min="12529" max="12529" width="6.875" style="50" customWidth="1"/>
    <col min="12530" max="12541" width="6.125" style="50" customWidth="1"/>
    <col min="12542" max="12542" width="5.875" style="50" customWidth="1"/>
    <col min="12543" max="12550" width="6.125" style="50" customWidth="1"/>
    <col min="12551" max="12555" width="9" style="50" hidden="1" customWidth="1"/>
    <col min="12556" max="12780" width="9" style="50"/>
    <col min="12781" max="12781" width="8.625" style="50" customWidth="1"/>
    <col min="12782" max="12782" width="6.5" style="50" customWidth="1"/>
    <col min="12783" max="12783" width="9" style="50" hidden="1" customWidth="1"/>
    <col min="12784" max="12784" width="7.75" style="50" customWidth="1"/>
    <col min="12785" max="12785" width="6.875" style="50" customWidth="1"/>
    <col min="12786" max="12797" width="6.125" style="50" customWidth="1"/>
    <col min="12798" max="12798" width="5.875" style="50" customWidth="1"/>
    <col min="12799" max="12806" width="6.125" style="50" customWidth="1"/>
    <col min="12807" max="12811" width="9" style="50" hidden="1" customWidth="1"/>
    <col min="12812" max="13036" width="9" style="50"/>
    <col min="13037" max="13037" width="8.625" style="50" customWidth="1"/>
    <col min="13038" max="13038" width="6.5" style="50" customWidth="1"/>
    <col min="13039" max="13039" width="9" style="50" hidden="1" customWidth="1"/>
    <col min="13040" max="13040" width="7.75" style="50" customWidth="1"/>
    <col min="13041" max="13041" width="6.875" style="50" customWidth="1"/>
    <col min="13042" max="13053" width="6.125" style="50" customWidth="1"/>
    <col min="13054" max="13054" width="5.875" style="50" customWidth="1"/>
    <col min="13055" max="13062" width="6.125" style="50" customWidth="1"/>
    <col min="13063" max="13067" width="9" style="50" hidden="1" customWidth="1"/>
    <col min="13068" max="13292" width="9" style="50"/>
    <col min="13293" max="13293" width="8.625" style="50" customWidth="1"/>
    <col min="13294" max="13294" width="6.5" style="50" customWidth="1"/>
    <col min="13295" max="13295" width="9" style="50" hidden="1" customWidth="1"/>
    <col min="13296" max="13296" width="7.75" style="50" customWidth="1"/>
    <col min="13297" max="13297" width="6.875" style="50" customWidth="1"/>
    <col min="13298" max="13309" width="6.125" style="50" customWidth="1"/>
    <col min="13310" max="13310" width="5.875" style="50" customWidth="1"/>
    <col min="13311" max="13318" width="6.125" style="50" customWidth="1"/>
    <col min="13319" max="13323" width="9" style="50" hidden="1" customWidth="1"/>
    <col min="13324" max="13548" width="9" style="50"/>
    <col min="13549" max="13549" width="8.625" style="50" customWidth="1"/>
    <col min="13550" max="13550" width="6.5" style="50" customWidth="1"/>
    <col min="13551" max="13551" width="9" style="50" hidden="1" customWidth="1"/>
    <col min="13552" max="13552" width="7.75" style="50" customWidth="1"/>
    <col min="13553" max="13553" width="6.875" style="50" customWidth="1"/>
    <col min="13554" max="13565" width="6.125" style="50" customWidth="1"/>
    <col min="13566" max="13566" width="5.875" style="50" customWidth="1"/>
    <col min="13567" max="13574" width="6.125" style="50" customWidth="1"/>
    <col min="13575" max="13579" width="9" style="50" hidden="1" customWidth="1"/>
    <col min="13580" max="13804" width="9" style="50"/>
    <col min="13805" max="13805" width="8.625" style="50" customWidth="1"/>
    <col min="13806" max="13806" width="6.5" style="50" customWidth="1"/>
    <col min="13807" max="13807" width="9" style="50" hidden="1" customWidth="1"/>
    <col min="13808" max="13808" width="7.75" style="50" customWidth="1"/>
    <col min="13809" max="13809" width="6.875" style="50" customWidth="1"/>
    <col min="13810" max="13821" width="6.125" style="50" customWidth="1"/>
    <col min="13822" max="13822" width="5.875" style="50" customWidth="1"/>
    <col min="13823" max="13830" width="6.125" style="50" customWidth="1"/>
    <col min="13831" max="13835" width="9" style="50" hidden="1" customWidth="1"/>
    <col min="13836" max="14060" width="9" style="50"/>
    <col min="14061" max="14061" width="8.625" style="50" customWidth="1"/>
    <col min="14062" max="14062" width="6.5" style="50" customWidth="1"/>
    <col min="14063" max="14063" width="9" style="50" hidden="1" customWidth="1"/>
    <col min="14064" max="14064" width="7.75" style="50" customWidth="1"/>
    <col min="14065" max="14065" width="6.875" style="50" customWidth="1"/>
    <col min="14066" max="14077" width="6.125" style="50" customWidth="1"/>
    <col min="14078" max="14078" width="5.875" style="50" customWidth="1"/>
    <col min="14079" max="14086" width="6.125" style="50" customWidth="1"/>
    <col min="14087" max="14091" width="9" style="50" hidden="1" customWidth="1"/>
    <col min="14092" max="14316" width="9" style="50"/>
    <col min="14317" max="14317" width="8.625" style="50" customWidth="1"/>
    <col min="14318" max="14318" width="6.5" style="50" customWidth="1"/>
    <col min="14319" max="14319" width="9" style="50" hidden="1" customWidth="1"/>
    <col min="14320" max="14320" width="7.75" style="50" customWidth="1"/>
    <col min="14321" max="14321" width="6.875" style="50" customWidth="1"/>
    <col min="14322" max="14333" width="6.125" style="50" customWidth="1"/>
    <col min="14334" max="14334" width="5.875" style="50" customWidth="1"/>
    <col min="14335" max="14342" width="6.125" style="50" customWidth="1"/>
    <col min="14343" max="14347" width="9" style="50" hidden="1" customWidth="1"/>
    <col min="14348" max="14572" width="9" style="50"/>
    <col min="14573" max="14573" width="8.625" style="50" customWidth="1"/>
    <col min="14574" max="14574" width="6.5" style="50" customWidth="1"/>
    <col min="14575" max="14575" width="9" style="50" hidden="1" customWidth="1"/>
    <col min="14576" max="14576" width="7.75" style="50" customWidth="1"/>
    <col min="14577" max="14577" width="6.875" style="50" customWidth="1"/>
    <col min="14578" max="14589" width="6.125" style="50" customWidth="1"/>
    <col min="14590" max="14590" width="5.875" style="50" customWidth="1"/>
    <col min="14591" max="14598" width="6.125" style="50" customWidth="1"/>
    <col min="14599" max="14603" width="9" style="50" hidden="1" customWidth="1"/>
    <col min="14604" max="14828" width="9" style="50"/>
    <col min="14829" max="14829" width="8.625" style="50" customWidth="1"/>
    <col min="14830" max="14830" width="6.5" style="50" customWidth="1"/>
    <col min="14831" max="14831" width="9" style="50" hidden="1" customWidth="1"/>
    <col min="14832" max="14832" width="7.75" style="50" customWidth="1"/>
    <col min="14833" max="14833" width="6.875" style="50" customWidth="1"/>
    <col min="14834" max="14845" width="6.125" style="50" customWidth="1"/>
    <col min="14846" max="14846" width="5.875" style="50" customWidth="1"/>
    <col min="14847" max="14854" width="6.125" style="50" customWidth="1"/>
    <col min="14855" max="14859" width="9" style="50" hidden="1" customWidth="1"/>
    <col min="14860" max="15084" width="9" style="50"/>
    <col min="15085" max="15085" width="8.625" style="50" customWidth="1"/>
    <col min="15086" max="15086" width="6.5" style="50" customWidth="1"/>
    <col min="15087" max="15087" width="9" style="50" hidden="1" customWidth="1"/>
    <col min="15088" max="15088" width="7.75" style="50" customWidth="1"/>
    <col min="15089" max="15089" width="6.875" style="50" customWidth="1"/>
    <col min="15090" max="15101" width="6.125" style="50" customWidth="1"/>
    <col min="15102" max="15102" width="5.875" style="50" customWidth="1"/>
    <col min="15103" max="15110" width="6.125" style="50" customWidth="1"/>
    <col min="15111" max="15115" width="9" style="50" hidden="1" customWidth="1"/>
    <col min="15116" max="15340" width="9" style="50"/>
    <col min="15341" max="15341" width="8.625" style="50" customWidth="1"/>
    <col min="15342" max="15342" width="6.5" style="50" customWidth="1"/>
    <col min="15343" max="15343" width="9" style="50" hidden="1" customWidth="1"/>
    <col min="15344" max="15344" width="7.75" style="50" customWidth="1"/>
    <col min="15345" max="15345" width="6.875" style="50" customWidth="1"/>
    <col min="15346" max="15357" width="6.125" style="50" customWidth="1"/>
    <col min="15358" max="15358" width="5.875" style="50" customWidth="1"/>
    <col min="15359" max="15366" width="6.125" style="50" customWidth="1"/>
    <col min="15367" max="15371" width="9" style="50" hidden="1" customWidth="1"/>
    <col min="15372" max="15596" width="9" style="50"/>
    <col min="15597" max="15597" width="8.625" style="50" customWidth="1"/>
    <col min="15598" max="15598" width="6.5" style="50" customWidth="1"/>
    <col min="15599" max="15599" width="9" style="50" hidden="1" customWidth="1"/>
    <col min="15600" max="15600" width="7.75" style="50" customWidth="1"/>
    <col min="15601" max="15601" width="6.875" style="50" customWidth="1"/>
    <col min="15602" max="15613" width="6.125" style="50" customWidth="1"/>
    <col min="15614" max="15614" width="5.875" style="50" customWidth="1"/>
    <col min="15615" max="15622" width="6.125" style="50" customWidth="1"/>
    <col min="15623" max="15627" width="9" style="50" hidden="1" customWidth="1"/>
    <col min="15628" max="15852" width="9" style="50"/>
    <col min="15853" max="15853" width="8.625" style="50" customWidth="1"/>
    <col min="15854" max="15854" width="6.5" style="50" customWidth="1"/>
    <col min="15855" max="15855" width="9" style="50" hidden="1" customWidth="1"/>
    <col min="15856" max="15856" width="7.75" style="50" customWidth="1"/>
    <col min="15857" max="15857" width="6.875" style="50" customWidth="1"/>
    <col min="15858" max="15869" width="6.125" style="50" customWidth="1"/>
    <col min="15870" max="15870" width="5.875" style="50" customWidth="1"/>
    <col min="15871" max="15878" width="6.125" style="50" customWidth="1"/>
    <col min="15879" max="15883" width="9" style="50" hidden="1" customWidth="1"/>
    <col min="15884" max="16108" width="9" style="50"/>
    <col min="16109" max="16109" width="8.625" style="50" customWidth="1"/>
    <col min="16110" max="16110" width="6.5" style="50" customWidth="1"/>
    <col min="16111" max="16111" width="9" style="50" hidden="1" customWidth="1"/>
    <col min="16112" max="16112" width="7.75" style="50" customWidth="1"/>
    <col min="16113" max="16113" width="6.875" style="50" customWidth="1"/>
    <col min="16114" max="16125" width="6.125" style="50" customWidth="1"/>
    <col min="16126" max="16126" width="5.875" style="50" customWidth="1"/>
    <col min="16127" max="16134" width="6.125" style="50" customWidth="1"/>
    <col min="16135" max="16139" width="9" style="50" hidden="1" customWidth="1"/>
    <col min="16140" max="16384" width="9" style="50"/>
  </cols>
  <sheetData>
    <row r="1" s="99" customFormat="1" ht="29.25" customHeight="1" spans="1:13">
      <c r="A1" s="100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21" t="s">
        <v>0</v>
      </c>
    </row>
    <row r="2" ht="23.25" customHeight="1" spans="1:13">
      <c r="A2" s="51" t="s">
        <v>209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customHeight="1" spans="1:13">
      <c r="A3" s="52"/>
      <c r="B3" s="54"/>
      <c r="C3" s="55"/>
      <c r="D3" s="84"/>
      <c r="E3" s="84"/>
      <c r="F3" s="84"/>
      <c r="G3" s="84"/>
      <c r="H3" s="127"/>
      <c r="J3" s="142" t="s">
        <v>151</v>
      </c>
      <c r="K3" s="142"/>
      <c r="L3" s="142"/>
      <c r="M3" s="142"/>
    </row>
    <row r="4" s="42" customFormat="1" ht="24.75" customHeight="1" spans="1:13">
      <c r="A4" s="128" t="s">
        <v>152</v>
      </c>
      <c r="B4" s="129" t="s">
        <v>210</v>
      </c>
      <c r="C4" s="130" t="s">
        <v>211</v>
      </c>
      <c r="D4" s="130" t="s">
        <v>212</v>
      </c>
      <c r="E4" s="130" t="s">
        <v>213</v>
      </c>
      <c r="F4" s="130" t="s">
        <v>214</v>
      </c>
      <c r="G4" s="130" t="s">
        <v>215</v>
      </c>
      <c r="H4" s="130" t="s">
        <v>216</v>
      </c>
      <c r="I4" s="129" t="s">
        <v>217</v>
      </c>
      <c r="J4" s="143" t="s">
        <v>218</v>
      </c>
      <c r="K4" s="143" t="s">
        <v>219</v>
      </c>
      <c r="L4" s="143" t="s">
        <v>23</v>
      </c>
      <c r="M4" s="144" t="s">
        <v>65</v>
      </c>
    </row>
    <row r="5" s="43" customFormat="1" ht="26.25" customHeight="1" spans="1:13">
      <c r="A5" s="131"/>
      <c r="B5" s="68"/>
      <c r="C5" s="69"/>
      <c r="D5" s="89"/>
      <c r="E5" s="89"/>
      <c r="F5" s="89"/>
      <c r="G5" s="89"/>
      <c r="H5" s="89"/>
      <c r="I5" s="68"/>
      <c r="J5" s="145"/>
      <c r="K5" s="145"/>
      <c r="L5" s="145"/>
      <c r="M5" s="146"/>
    </row>
    <row r="6" ht="44.25" customHeight="1" spans="1:13">
      <c r="A6" s="132" t="s">
        <v>220</v>
      </c>
      <c r="B6" s="74">
        <f>(经营分析!D19+经营分析!D20+经营分析!D21+经营分析!D22)/10000</f>
        <v>91.2358443</v>
      </c>
      <c r="C6" s="133">
        <f>经营分析!D23/10000</f>
        <v>1.94925</v>
      </c>
      <c r="D6" s="133">
        <f>经营分析!D24/10000</f>
        <v>61.81516</v>
      </c>
      <c r="E6" s="134">
        <f>经营分析!D25/10000</f>
        <v>4.9084</v>
      </c>
      <c r="F6" s="134">
        <f>经营分析!D29/10000</f>
        <v>13.193175</v>
      </c>
      <c r="G6" s="135">
        <f>经营分析!D31/10000</f>
        <v>43.8855</v>
      </c>
      <c r="H6" s="135">
        <f>经营分析!D28/10000</f>
        <v>0.602406</v>
      </c>
      <c r="I6" s="147" t="e">
        <f>经营分析!D33/10000</f>
        <v>#REF!</v>
      </c>
      <c r="J6" s="148" t="e">
        <f>经营分析!D34/10000</f>
        <v>#REF!</v>
      </c>
      <c r="K6" s="149">
        <f>(经营分析!D27+经营分析!D30)/10000</f>
        <v>0.45825</v>
      </c>
      <c r="L6" s="149" t="e">
        <f t="shared" ref="L6:L11" si="0">SUM(B6:K6)</f>
        <v>#REF!</v>
      </c>
      <c r="M6" s="150" t="s">
        <v>221</v>
      </c>
    </row>
    <row r="7" ht="44.25" customHeight="1" spans="1:13">
      <c r="A7" s="136" t="s">
        <v>222</v>
      </c>
      <c r="B7" s="137">
        <f>B6/12</f>
        <v>7.602987025</v>
      </c>
      <c r="C7" s="137">
        <f t="shared" ref="C7:K7" si="1">C6/12</f>
        <v>0.1624375</v>
      </c>
      <c r="D7" s="137">
        <f t="shared" si="1"/>
        <v>5.15126333333333</v>
      </c>
      <c r="E7" s="137">
        <f t="shared" si="1"/>
        <v>0.409033333333333</v>
      </c>
      <c r="F7" s="137">
        <f t="shared" si="1"/>
        <v>1.09943125</v>
      </c>
      <c r="G7" s="137">
        <f t="shared" si="1"/>
        <v>3.657125</v>
      </c>
      <c r="H7" s="137">
        <f t="shared" si="1"/>
        <v>0.0502005</v>
      </c>
      <c r="I7" s="137" t="e">
        <f t="shared" si="1"/>
        <v>#REF!</v>
      </c>
      <c r="J7" s="137" t="e">
        <f t="shared" si="1"/>
        <v>#REF!</v>
      </c>
      <c r="K7" s="137">
        <f t="shared" si="1"/>
        <v>0.0381875</v>
      </c>
      <c r="L7" s="149" t="e">
        <f t="shared" si="0"/>
        <v>#REF!</v>
      </c>
      <c r="M7" s="151"/>
    </row>
    <row r="8" ht="44.25" customHeight="1" spans="1:13">
      <c r="A8" s="138" t="s">
        <v>223</v>
      </c>
      <c r="B8" s="137">
        <f>B7*10000/31257.48</f>
        <v>2.43237363504672</v>
      </c>
      <c r="C8" s="137">
        <f t="shared" ref="C8:K8" si="2">C7*10000/31257.48</f>
        <v>0.0519675610445884</v>
      </c>
      <c r="D8" s="137">
        <f t="shared" si="2"/>
        <v>1.64800979904117</v>
      </c>
      <c r="E8" s="137">
        <f t="shared" si="2"/>
        <v>0.130859344174045</v>
      </c>
      <c r="F8" s="137">
        <f t="shared" si="2"/>
        <v>0.351733808995479</v>
      </c>
      <c r="G8" s="137">
        <f t="shared" si="2"/>
        <v>1.16999994881225</v>
      </c>
      <c r="H8" s="137">
        <f t="shared" si="2"/>
        <v>0.0160603158028094</v>
      </c>
      <c r="I8" s="137" t="e">
        <f t="shared" si="2"/>
        <v>#REF!</v>
      </c>
      <c r="J8" s="137" t="e">
        <f t="shared" si="2"/>
        <v>#REF!</v>
      </c>
      <c r="K8" s="137">
        <f t="shared" si="2"/>
        <v>0.0122170757207555</v>
      </c>
      <c r="L8" s="149" t="e">
        <f t="shared" si="0"/>
        <v>#REF!</v>
      </c>
      <c r="M8" s="151"/>
    </row>
    <row r="9" ht="44.25" customHeight="1" spans="1:13">
      <c r="A9" s="138" t="s">
        <v>224</v>
      </c>
      <c r="B9" s="137">
        <f>B8/30</f>
        <v>0.0810791211682238</v>
      </c>
      <c r="C9" s="137">
        <f t="shared" ref="C9:K9" si="3">C8/30</f>
        <v>0.00173225203481961</v>
      </c>
      <c r="D9" s="137">
        <f t="shared" si="3"/>
        <v>0.0549336599680389</v>
      </c>
      <c r="E9" s="137">
        <f t="shared" si="3"/>
        <v>0.00436197813913484</v>
      </c>
      <c r="F9" s="137">
        <f t="shared" si="3"/>
        <v>0.0117244602998493</v>
      </c>
      <c r="G9" s="137">
        <f t="shared" si="3"/>
        <v>0.0389999982937417</v>
      </c>
      <c r="H9" s="137">
        <f t="shared" si="3"/>
        <v>0.000535343860093648</v>
      </c>
      <c r="I9" s="137" t="e">
        <f t="shared" si="3"/>
        <v>#REF!</v>
      </c>
      <c r="J9" s="137" t="e">
        <f t="shared" si="3"/>
        <v>#REF!</v>
      </c>
      <c r="K9" s="137">
        <f t="shared" si="3"/>
        <v>0.000407235857358516</v>
      </c>
      <c r="L9" s="149" t="e">
        <f t="shared" si="0"/>
        <v>#REF!</v>
      </c>
      <c r="M9" s="151"/>
    </row>
    <row r="10" ht="44.25" customHeight="1" spans="1:13">
      <c r="A10" s="138" t="s">
        <v>225</v>
      </c>
      <c r="B10" s="137">
        <f>B7/437*10000</f>
        <v>173.981396453089</v>
      </c>
      <c r="C10" s="137">
        <f t="shared" ref="C10:K10" si="4">C7/437*10000</f>
        <v>3.71710526315789</v>
      </c>
      <c r="D10" s="137">
        <f t="shared" si="4"/>
        <v>117.877879481312</v>
      </c>
      <c r="E10" s="137">
        <f t="shared" si="4"/>
        <v>9.36003051106026</v>
      </c>
      <c r="F10" s="137">
        <f t="shared" si="4"/>
        <v>25.1586098398169</v>
      </c>
      <c r="G10" s="137">
        <f t="shared" si="4"/>
        <v>83.6870709382151</v>
      </c>
      <c r="H10" s="137">
        <f t="shared" si="4"/>
        <v>1.1487528604119</v>
      </c>
      <c r="I10" s="137" t="e">
        <f t="shared" si="4"/>
        <v>#REF!</v>
      </c>
      <c r="J10" s="137" t="e">
        <f t="shared" si="4"/>
        <v>#REF!</v>
      </c>
      <c r="K10" s="137">
        <f t="shared" si="4"/>
        <v>0.873855835240275</v>
      </c>
      <c r="L10" s="149" t="e">
        <f t="shared" si="0"/>
        <v>#REF!</v>
      </c>
      <c r="M10" s="151"/>
    </row>
    <row r="11" s="126" customFormat="1" ht="39.75" customHeight="1" spans="1:13">
      <c r="A11" s="139" t="s">
        <v>226</v>
      </c>
      <c r="B11" s="140">
        <f>B10/30</f>
        <v>5.79937988176964</v>
      </c>
      <c r="C11" s="140">
        <f t="shared" ref="C11:K11" si="5">C10/30</f>
        <v>0.12390350877193</v>
      </c>
      <c r="D11" s="140">
        <f t="shared" si="5"/>
        <v>3.92926264937707</v>
      </c>
      <c r="E11" s="140">
        <f t="shared" si="5"/>
        <v>0.312001017035342</v>
      </c>
      <c r="F11" s="140">
        <f t="shared" si="5"/>
        <v>0.838620327993898</v>
      </c>
      <c r="G11" s="140">
        <f t="shared" si="5"/>
        <v>2.78956903127384</v>
      </c>
      <c r="H11" s="140">
        <f t="shared" si="5"/>
        <v>0.03829176201373</v>
      </c>
      <c r="I11" s="140" t="e">
        <f t="shared" si="5"/>
        <v>#REF!</v>
      </c>
      <c r="J11" s="140" t="e">
        <f t="shared" si="5"/>
        <v>#REF!</v>
      </c>
      <c r="K11" s="140">
        <f t="shared" si="5"/>
        <v>0.0291285278413425</v>
      </c>
      <c r="L11" s="152" t="e">
        <f t="shared" si="0"/>
        <v>#REF!</v>
      </c>
      <c r="M11" s="153"/>
    </row>
    <row r="12" s="44" customFormat="1" ht="22.5" customHeight="1"/>
    <row r="13" s="45" customFormat="1" ht="20.25" customHeight="1" spans="1:13">
      <c r="A13" s="141" t="s">
        <v>227</v>
      </c>
      <c r="H13" s="98"/>
      <c r="I13" s="98"/>
      <c r="J13" s="98"/>
      <c r="K13" s="98"/>
      <c r="L13" s="98"/>
      <c r="M13" s="98"/>
    </row>
    <row r="14" customHeight="1" spans="8:13">
      <c r="H14" s="93"/>
      <c r="I14" s="93"/>
      <c r="J14" s="93"/>
      <c r="K14" s="93"/>
      <c r="L14" s="93"/>
      <c r="M14" s="93"/>
    </row>
    <row r="15" hidden="1" customHeight="1" spans="1:13">
      <c r="A15" s="77" t="s">
        <v>228</v>
      </c>
      <c r="B15" s="80"/>
      <c r="C15" s="81"/>
      <c r="D15" s="93"/>
      <c r="E15" s="93"/>
      <c r="F15" s="93"/>
      <c r="G15" s="93"/>
      <c r="H15" s="93"/>
      <c r="I15" s="93"/>
      <c r="J15" s="93"/>
      <c r="K15" s="93"/>
      <c r="L15" s="93"/>
      <c r="M15" s="93"/>
    </row>
    <row r="16" customHeight="1" spans="1:13">
      <c r="A16" s="79"/>
      <c r="B16" s="80"/>
      <c r="C16" s="82"/>
      <c r="D16" s="93"/>
      <c r="E16" s="93"/>
      <c r="F16" s="93"/>
      <c r="G16" s="93"/>
      <c r="H16" s="93"/>
      <c r="I16" s="93"/>
      <c r="J16" s="93"/>
      <c r="K16" s="93"/>
      <c r="L16" s="93"/>
      <c r="M16" s="93"/>
    </row>
    <row r="17" customHeight="1" spans="1:13">
      <c r="A17" s="79"/>
      <c r="B17" s="80"/>
      <c r="C17" s="82"/>
      <c r="D17" s="93"/>
      <c r="E17" s="93"/>
      <c r="F17" s="93"/>
      <c r="G17" s="93"/>
      <c r="H17" s="93"/>
      <c r="I17" s="93"/>
      <c r="J17" s="93"/>
      <c r="K17" s="93"/>
      <c r="L17" s="93"/>
      <c r="M17" s="93"/>
    </row>
    <row r="18" customHeight="1" spans="1:13">
      <c r="A18" s="79"/>
      <c r="B18" s="80"/>
      <c r="C18" s="82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customHeight="1" spans="1:13">
      <c r="A19" s="79"/>
      <c r="B19" s="80"/>
      <c r="C19" s="82"/>
      <c r="D19" s="93"/>
      <c r="E19" s="93"/>
      <c r="F19" s="93"/>
      <c r="G19" s="93"/>
      <c r="H19" s="93"/>
      <c r="I19" s="93"/>
      <c r="J19" s="93"/>
      <c r="K19" s="93"/>
      <c r="L19" s="93"/>
      <c r="M19" s="93"/>
    </row>
    <row r="20" customHeight="1" spans="1:13">
      <c r="A20" s="79"/>
      <c r="B20" s="80"/>
      <c r="C20" s="82"/>
      <c r="D20" s="93"/>
      <c r="E20" s="93"/>
      <c r="F20" s="93"/>
      <c r="G20" s="93"/>
      <c r="H20" s="93"/>
      <c r="I20" s="93"/>
      <c r="J20" s="93"/>
      <c r="K20" s="93"/>
      <c r="L20" s="93"/>
      <c r="M20" s="93"/>
    </row>
    <row r="21" customHeight="1" spans="1:13">
      <c r="A21" s="79"/>
      <c r="B21" s="80"/>
      <c r="C21" s="82"/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customHeight="1" spans="1:13">
      <c r="A22" s="79"/>
      <c r="B22" s="80"/>
      <c r="C22" s="82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customHeight="1" spans="1:13">
      <c r="A23" s="79"/>
      <c r="B23" s="80"/>
      <c r="C23" s="82"/>
      <c r="D23" s="93"/>
      <c r="E23" s="93"/>
      <c r="F23" s="93"/>
      <c r="G23" s="93"/>
      <c r="H23" s="93"/>
      <c r="I23" s="93"/>
      <c r="J23" s="93"/>
      <c r="K23" s="93"/>
      <c r="L23" s="93"/>
      <c r="M23" s="93"/>
    </row>
    <row r="24" customHeight="1" spans="1:13">
      <c r="A24" s="79"/>
      <c r="B24" s="80"/>
      <c r="C24" s="82"/>
      <c r="D24" s="93"/>
      <c r="E24" s="93"/>
      <c r="F24" s="93"/>
      <c r="G24" s="93"/>
      <c r="H24" s="93"/>
      <c r="I24" s="93"/>
      <c r="J24" s="93"/>
      <c r="K24" s="93"/>
      <c r="L24" s="93"/>
      <c r="M24" s="93"/>
    </row>
    <row r="25" customHeight="1" spans="1:13">
      <c r="A25" s="79"/>
      <c r="B25" s="80"/>
      <c r="C25" s="82"/>
      <c r="D25" s="93"/>
      <c r="E25" s="93"/>
      <c r="F25" s="93"/>
      <c r="G25" s="93"/>
      <c r="H25" s="93"/>
      <c r="I25" s="93"/>
      <c r="J25" s="93"/>
      <c r="K25" s="93"/>
      <c r="L25" s="93"/>
      <c r="M25" s="93"/>
    </row>
    <row r="26" customHeight="1" spans="1:13">
      <c r="A26" s="79"/>
      <c r="B26" s="80"/>
      <c r="C26" s="82"/>
      <c r="D26" s="93"/>
      <c r="E26" s="93"/>
      <c r="F26" s="93"/>
      <c r="G26" s="93"/>
      <c r="H26" s="93"/>
      <c r="I26" s="93"/>
      <c r="J26" s="93"/>
      <c r="K26" s="93"/>
      <c r="L26" s="93"/>
      <c r="M26" s="93"/>
    </row>
    <row r="27" customHeight="1" spans="1:13">
      <c r="A27" s="79"/>
      <c r="B27" s="80"/>
      <c r="C27" s="82"/>
      <c r="D27" s="93"/>
      <c r="E27" s="93"/>
      <c r="F27" s="93"/>
      <c r="G27" s="93"/>
      <c r="H27" s="93"/>
      <c r="I27" s="93"/>
      <c r="J27" s="93"/>
      <c r="K27" s="93"/>
      <c r="L27" s="93"/>
      <c r="M27" s="93"/>
    </row>
    <row r="28" customHeight="1" spans="1:13">
      <c r="A28" s="79"/>
      <c r="B28" s="80"/>
      <c r="C28" s="82"/>
      <c r="D28" s="93"/>
      <c r="E28" s="93"/>
      <c r="F28" s="93"/>
      <c r="G28" s="93"/>
      <c r="H28" s="93"/>
      <c r="I28" s="93"/>
      <c r="J28" s="93"/>
      <c r="K28" s="93"/>
      <c r="L28" s="93"/>
      <c r="M28" s="93"/>
    </row>
    <row r="29" customHeight="1" spans="1:13">
      <c r="A29" s="79"/>
      <c r="B29" s="80"/>
      <c r="C29" s="82"/>
      <c r="D29" s="93"/>
      <c r="E29" s="93"/>
      <c r="F29" s="93"/>
      <c r="G29" s="93"/>
      <c r="H29" s="93"/>
      <c r="I29" s="93"/>
      <c r="J29" s="93"/>
      <c r="K29" s="93"/>
      <c r="L29" s="93"/>
      <c r="M29" s="93"/>
    </row>
    <row r="30" customHeight="1" spans="1:13">
      <c r="A30" s="79"/>
      <c r="B30" s="80"/>
      <c r="C30" s="82"/>
      <c r="D30" s="93"/>
      <c r="E30" s="93"/>
      <c r="F30" s="93"/>
      <c r="G30" s="93"/>
      <c r="H30" s="93"/>
      <c r="I30" s="93"/>
      <c r="J30" s="93"/>
      <c r="K30" s="93"/>
      <c r="L30" s="93"/>
      <c r="M30" s="93"/>
    </row>
    <row r="31" customHeight="1" spans="1:13">
      <c r="A31" s="79"/>
      <c r="B31" s="80"/>
      <c r="C31" s="82"/>
      <c r="D31" s="93"/>
      <c r="E31" s="93"/>
      <c r="F31" s="93"/>
      <c r="G31" s="93"/>
      <c r="H31" s="93"/>
      <c r="I31" s="93"/>
      <c r="J31" s="93"/>
      <c r="K31" s="93"/>
      <c r="L31" s="93"/>
      <c r="M31" s="93"/>
    </row>
    <row r="32" customHeight="1" spans="1:13">
      <c r="A32" s="79"/>
      <c r="B32" s="80"/>
      <c r="C32" s="82"/>
      <c r="D32" s="93"/>
      <c r="E32" s="93"/>
      <c r="F32" s="93"/>
      <c r="G32" s="93"/>
      <c r="H32" s="93"/>
      <c r="I32" s="93"/>
      <c r="J32" s="93"/>
      <c r="K32" s="93"/>
      <c r="L32" s="93"/>
      <c r="M32" s="93"/>
    </row>
    <row r="33" customHeight="1" spans="1:13">
      <c r="A33" s="79"/>
      <c r="B33" s="80"/>
      <c r="C33" s="82"/>
      <c r="D33" s="93"/>
      <c r="E33" s="93"/>
      <c r="F33" s="93"/>
      <c r="G33" s="93"/>
      <c r="H33" s="93"/>
      <c r="I33" s="93"/>
      <c r="J33" s="93"/>
      <c r="K33" s="93"/>
      <c r="L33" s="93"/>
      <c r="M33" s="93"/>
    </row>
    <row r="34" customHeight="1" spans="1:13">
      <c r="A34" s="79"/>
      <c r="B34" s="80"/>
      <c r="C34" s="82"/>
      <c r="D34" s="93"/>
      <c r="E34" s="93"/>
      <c r="F34" s="93"/>
      <c r="G34" s="93"/>
      <c r="H34" s="93"/>
      <c r="I34" s="93"/>
      <c r="J34" s="93"/>
      <c r="K34" s="93"/>
      <c r="L34" s="93"/>
      <c r="M34" s="93"/>
    </row>
    <row r="35" customHeight="1" spans="1:13">
      <c r="A35" s="79"/>
      <c r="B35" s="80"/>
      <c r="C35" s="82"/>
      <c r="D35" s="93"/>
      <c r="E35" s="93"/>
      <c r="F35" s="93"/>
      <c r="G35" s="93"/>
      <c r="H35" s="93"/>
      <c r="I35" s="93"/>
      <c r="J35" s="93"/>
      <c r="K35" s="93"/>
      <c r="L35" s="93"/>
      <c r="M35" s="93"/>
    </row>
    <row r="36" customHeight="1" spans="1:13">
      <c r="A36" s="79"/>
      <c r="B36" s="80"/>
      <c r="C36" s="82"/>
      <c r="D36" s="93"/>
      <c r="E36" s="93"/>
      <c r="F36" s="93"/>
      <c r="G36" s="93"/>
      <c r="H36" s="93"/>
      <c r="I36" s="93"/>
      <c r="J36" s="93"/>
      <c r="K36" s="93"/>
      <c r="L36" s="93"/>
      <c r="M36" s="93"/>
    </row>
    <row r="37" customHeight="1" spans="1:13">
      <c r="A37" s="79"/>
      <c r="B37" s="80"/>
      <c r="C37" s="82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customHeight="1" spans="1:13">
      <c r="A38" s="79"/>
      <c r="B38" s="80"/>
      <c r="C38" s="82"/>
      <c r="D38" s="93"/>
      <c r="E38" s="93"/>
      <c r="F38" s="93"/>
      <c r="G38" s="93"/>
      <c r="H38" s="93"/>
      <c r="I38" s="93"/>
      <c r="J38" s="93"/>
      <c r="K38" s="93"/>
      <c r="L38" s="93"/>
      <c r="M38" s="93"/>
    </row>
    <row r="39" customHeight="1" spans="1:13">
      <c r="A39" s="79"/>
      <c r="B39" s="80"/>
      <c r="C39" s="82"/>
      <c r="D39" s="93"/>
      <c r="E39" s="93"/>
      <c r="F39" s="93"/>
      <c r="G39" s="93"/>
      <c r="H39" s="93"/>
      <c r="I39" s="93"/>
      <c r="J39" s="93"/>
      <c r="K39" s="93"/>
      <c r="L39" s="93"/>
      <c r="M39" s="93"/>
    </row>
    <row r="40" customHeight="1" spans="1:13">
      <c r="A40" s="79"/>
      <c r="B40" s="80"/>
      <c r="C40" s="82"/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customHeight="1" spans="1:13">
      <c r="A41" s="79"/>
      <c r="B41" s="80"/>
      <c r="C41" s="82"/>
      <c r="D41" s="93"/>
      <c r="E41" s="93"/>
      <c r="F41" s="93"/>
      <c r="G41" s="93"/>
      <c r="H41" s="93"/>
      <c r="I41" s="93"/>
      <c r="J41" s="93"/>
      <c r="K41" s="93"/>
      <c r="L41" s="93"/>
      <c r="M41" s="93"/>
    </row>
    <row r="42" customHeight="1" spans="1:13">
      <c r="A42" s="79"/>
      <c r="B42" s="80"/>
      <c r="C42" s="82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customHeight="1" spans="1:13">
      <c r="A43" s="79"/>
      <c r="B43" s="80"/>
      <c r="C43" s="82"/>
      <c r="D43" s="93"/>
      <c r="E43" s="93"/>
      <c r="F43" s="93"/>
      <c r="G43" s="93"/>
      <c r="H43" s="93"/>
      <c r="I43" s="93"/>
      <c r="J43" s="93"/>
      <c r="K43" s="93"/>
      <c r="L43" s="93"/>
      <c r="M43" s="93"/>
    </row>
    <row r="44" customHeight="1" spans="1:13">
      <c r="A44" s="79"/>
      <c r="B44" s="80"/>
      <c r="C44" s="82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customHeight="1" spans="1:13">
      <c r="A45" s="79"/>
      <c r="B45" s="80"/>
      <c r="C45" s="82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customHeight="1" spans="1:13">
      <c r="A46" s="79"/>
      <c r="B46" s="80"/>
      <c r="C46" s="82"/>
      <c r="D46" s="93"/>
      <c r="E46" s="93"/>
      <c r="F46" s="93"/>
      <c r="G46" s="93"/>
      <c r="H46" s="93"/>
      <c r="I46" s="93"/>
      <c r="J46" s="93"/>
      <c r="K46" s="93"/>
      <c r="L46" s="93"/>
      <c r="M46" s="93"/>
    </row>
  </sheetData>
  <mergeCells count="16">
    <mergeCell ref="A2:M2"/>
    <mergeCell ref="J3:M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M6:M11"/>
  </mergeCells>
  <printOptions horizontalCentered="1"/>
  <pageMargins left="0" right="0" top="0.354166666666667" bottom="0" header="0.393055555555556" footer="0"/>
  <pageSetup paperSize="9" scale="80" firstPageNumber="4294963191" orientation="landscape" useFirstPageNumber="1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B13" sqref="B13"/>
    </sheetView>
  </sheetViews>
  <sheetFormatPr defaultColWidth="9" defaultRowHeight="14.25" outlineLevelRow="6"/>
  <cols>
    <col min="3" max="3" width="12.125" customWidth="1"/>
    <col min="4" max="4" width="13.25" customWidth="1"/>
    <col min="5" max="5" width="12.125" customWidth="1"/>
    <col min="6" max="8" width="13" customWidth="1"/>
    <col min="9" max="9" width="15.125" customWidth="1"/>
    <col min="10" max="10" width="16.5" customWidth="1"/>
  </cols>
  <sheetData>
    <row r="1" s="99" customFormat="1" ht="37.5" customHeight="1" spans="1:10">
      <c r="A1" s="100"/>
      <c r="B1" s="100"/>
      <c r="C1" s="101"/>
      <c r="D1" s="102"/>
      <c r="E1" s="102"/>
      <c r="F1" s="102"/>
      <c r="G1" s="102"/>
      <c r="H1" s="102"/>
      <c r="I1" s="102"/>
      <c r="J1" s="121" t="s">
        <v>0</v>
      </c>
    </row>
    <row r="2" s="99" customFormat="1" ht="32.25" customHeight="1" spans="1:10">
      <c r="A2" s="103" t="s">
        <v>229</v>
      </c>
      <c r="B2" s="103"/>
      <c r="C2" s="103"/>
      <c r="D2" s="103"/>
      <c r="E2" s="103"/>
      <c r="F2" s="103"/>
      <c r="G2" s="103"/>
      <c r="H2" s="103"/>
      <c r="I2" s="103"/>
      <c r="J2" s="103"/>
    </row>
    <row r="3" ht="15"/>
    <row r="4" ht="32.25" customHeight="1" spans="1:10">
      <c r="A4" s="104" t="s">
        <v>152</v>
      </c>
      <c r="B4" s="105"/>
      <c r="C4" s="106" t="s">
        <v>230</v>
      </c>
      <c r="D4" s="107" t="s">
        <v>231</v>
      </c>
      <c r="E4" s="107" t="s">
        <v>232</v>
      </c>
      <c r="F4" s="108" t="s">
        <v>233</v>
      </c>
      <c r="G4" s="108" t="s">
        <v>234</v>
      </c>
      <c r="H4" s="109" t="s">
        <v>235</v>
      </c>
      <c r="I4" s="109" t="s">
        <v>236</v>
      </c>
      <c r="J4" s="122" t="s">
        <v>237</v>
      </c>
    </row>
    <row r="5" ht="32.25" customHeight="1" spans="1:10">
      <c r="A5" s="110" t="s">
        <v>238</v>
      </c>
      <c r="B5" s="111"/>
      <c r="C5" s="112"/>
      <c r="D5" s="112" t="s">
        <v>239</v>
      </c>
      <c r="E5" s="113" t="s">
        <v>240</v>
      </c>
      <c r="F5" s="113" t="s">
        <v>241</v>
      </c>
      <c r="G5" s="114" t="s">
        <v>242</v>
      </c>
      <c r="H5" s="113" t="s">
        <v>243</v>
      </c>
      <c r="I5" s="113" t="s">
        <v>244</v>
      </c>
      <c r="J5" s="123" t="s">
        <v>245</v>
      </c>
    </row>
    <row r="6" ht="60.75" customHeight="1" spans="1:10">
      <c r="A6" s="115" t="s">
        <v>246</v>
      </c>
      <c r="B6" s="116"/>
      <c r="C6" s="117">
        <v>437</v>
      </c>
      <c r="D6" s="118" t="e">
        <f>单位面积费用测算!L10</f>
        <v>#REF!</v>
      </c>
      <c r="E6" s="119">
        <v>0.0568</v>
      </c>
      <c r="F6" s="118" t="e">
        <f>D6/(1-E6)</f>
        <v>#REF!</v>
      </c>
      <c r="G6" s="118" t="e">
        <f>F6/30</f>
        <v>#REF!</v>
      </c>
      <c r="H6" s="120" t="s">
        <v>247</v>
      </c>
      <c r="I6" s="124" t="e">
        <f>G6/3</f>
        <v>#REF!</v>
      </c>
      <c r="J6" s="125">
        <f>经营分析!D5/365/437/3</f>
        <v>9.59902406403143</v>
      </c>
    </row>
    <row r="7" ht="18.75" customHeight="1"/>
  </sheetData>
  <mergeCells count="5">
    <mergeCell ref="A2:J2"/>
    <mergeCell ref="A4:B4"/>
    <mergeCell ref="A5:B5"/>
    <mergeCell ref="A6:B6"/>
    <mergeCell ref="C4:C5"/>
  </mergeCells>
  <printOptions horizontalCentered="1"/>
  <pageMargins left="0" right="0" top="0.156944444444444" bottom="0" header="0.314583333333333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投资</vt:lpstr>
      <vt:lpstr>试算</vt:lpstr>
      <vt:lpstr>架构</vt:lpstr>
      <vt:lpstr>班表</vt:lpstr>
      <vt:lpstr>盈亏分析</vt:lpstr>
      <vt:lpstr>投资分析</vt:lpstr>
      <vt:lpstr>经营分析</vt:lpstr>
      <vt:lpstr>单位面积费用测算</vt:lpstr>
      <vt:lpstr>收入分析</vt:lpstr>
      <vt:lpstr>费用分析</vt:lpstr>
      <vt:lpstr>保本分析</vt:lpstr>
      <vt:lpstr>2015年全年计划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2014-08-25T07:10:00Z</dcterms:created>
  <cp:lastPrinted>2014-09-15T07:48:00Z</cp:lastPrinted>
  <dcterms:modified xsi:type="dcterms:W3CDTF">2021-05-29T02:21:38Z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v1.0_mb_FjTYcRfq481k9QX0ENmQlg==</vt:lpwstr>
  </property>
</Properties>
</file>